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tch\Dropbox\UUCB Finance Committee\Financial Reports\Board Reports\2023-2024 Board repts\"/>
    </mc:Choice>
  </mc:AlternateContent>
  <xr:revisionPtr revIDLastSave="0" documentId="13_ncr:1_{64595174-565E-49CA-8EEF-AB72E8DA9EAA}" xr6:coauthVersionLast="47" xr6:coauthVersionMax="47" xr10:uidLastSave="{00000000-0000-0000-0000-000000000000}"/>
  <bookViews>
    <workbookView xWindow="1860" yWindow="1860" windowWidth="28800" windowHeight="11235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B13" i="1"/>
  <c r="F13" i="1"/>
  <c r="AY93" i="1" l="1"/>
  <c r="BA93" i="1" s="1"/>
  <c r="AX93" i="1"/>
  <c r="AZ93" i="1" s="1"/>
  <c r="AW93" i="1"/>
  <c r="AV93" i="1"/>
  <c r="AS93" i="1"/>
  <c r="AR93" i="1"/>
  <c r="AO93" i="1"/>
  <c r="AN93" i="1"/>
  <c r="AL93" i="1"/>
  <c r="AK93" i="1"/>
  <c r="AJ93" i="1"/>
  <c r="AG93" i="1"/>
  <c r="AF93" i="1"/>
  <c r="AC93" i="1"/>
  <c r="AB93" i="1"/>
  <c r="Y93" i="1"/>
  <c r="X93" i="1"/>
  <c r="U93" i="1"/>
  <c r="T93" i="1"/>
  <c r="Q93" i="1"/>
  <c r="P93" i="1"/>
  <c r="M93" i="1"/>
  <c r="L93" i="1"/>
  <c r="I93" i="1"/>
  <c r="H93" i="1"/>
  <c r="E93" i="1"/>
  <c r="D93" i="1"/>
  <c r="AT92" i="1"/>
  <c r="AR92" i="1"/>
  <c r="AQ92" i="1"/>
  <c r="AS92" i="1" s="1"/>
  <c r="AP92" i="1"/>
  <c r="AL92" i="1"/>
  <c r="AN92" i="1" s="1"/>
  <c r="AJ92" i="1"/>
  <c r="AH92" i="1"/>
  <c r="Z92" i="1"/>
  <c r="R92" i="1"/>
  <c r="L92" i="1"/>
  <c r="K92" i="1"/>
  <c r="M92" i="1" s="1"/>
  <c r="J92" i="1"/>
  <c r="F92" i="1"/>
  <c r="D92" i="1"/>
  <c r="B92" i="1"/>
  <c r="AX91" i="1"/>
  <c r="AV91" i="1"/>
  <c r="AU91" i="1"/>
  <c r="AW91" i="1" s="1"/>
  <c r="AS91" i="1"/>
  <c r="AR91" i="1"/>
  <c r="AQ91" i="1"/>
  <c r="AN91" i="1"/>
  <c r="AM91" i="1"/>
  <c r="AO91" i="1" s="1"/>
  <c r="AK91" i="1"/>
  <c r="AJ91" i="1"/>
  <c r="AI91" i="1"/>
  <c r="AI92" i="1" s="1"/>
  <c r="AK92" i="1" s="1"/>
  <c r="AE91" i="1"/>
  <c r="AG91" i="1" s="1"/>
  <c r="AA91" i="1"/>
  <c r="Y91" i="1"/>
  <c r="X91" i="1"/>
  <c r="W91" i="1"/>
  <c r="S91" i="1"/>
  <c r="P91" i="1"/>
  <c r="O91" i="1"/>
  <c r="Q91" i="1" s="1"/>
  <c r="M91" i="1"/>
  <c r="L91" i="1"/>
  <c r="K91" i="1"/>
  <c r="H91" i="1"/>
  <c r="G91" i="1"/>
  <c r="I91" i="1" s="1"/>
  <c r="E91" i="1"/>
  <c r="D91" i="1"/>
  <c r="C91" i="1"/>
  <c r="C92" i="1" s="1"/>
  <c r="AV90" i="1"/>
  <c r="AU90" i="1"/>
  <c r="AW90" i="1" s="1"/>
  <c r="AS90" i="1"/>
  <c r="AR90" i="1"/>
  <c r="AQ90" i="1"/>
  <c r="AM90" i="1"/>
  <c r="AM92" i="1" s="1"/>
  <c r="AL90" i="1"/>
  <c r="AN90" i="1" s="1"/>
  <c r="AK90" i="1"/>
  <c r="AJ90" i="1"/>
  <c r="AI90" i="1"/>
  <c r="AH90" i="1"/>
  <c r="AF90" i="1"/>
  <c r="AE90" i="1"/>
  <c r="AE92" i="1" s="1"/>
  <c r="AD90" i="1"/>
  <c r="AD92" i="1" s="1"/>
  <c r="AF92" i="1" s="1"/>
  <c r="AC90" i="1"/>
  <c r="AB90" i="1"/>
  <c r="AA90" i="1"/>
  <c r="Z90" i="1"/>
  <c r="X90" i="1"/>
  <c r="W90" i="1"/>
  <c r="W92" i="1" s="1"/>
  <c r="V90" i="1"/>
  <c r="V92" i="1" s="1"/>
  <c r="X92" i="1" s="1"/>
  <c r="U90" i="1"/>
  <c r="T90" i="1"/>
  <c r="S90" i="1"/>
  <c r="R90" i="1"/>
  <c r="P90" i="1"/>
  <c r="O90" i="1"/>
  <c r="O92" i="1" s="1"/>
  <c r="N90" i="1"/>
  <c r="N92" i="1" s="1"/>
  <c r="P92" i="1" s="1"/>
  <c r="M90" i="1"/>
  <c r="L90" i="1"/>
  <c r="K90" i="1"/>
  <c r="J90" i="1"/>
  <c r="G90" i="1"/>
  <c r="G92" i="1" s="1"/>
  <c r="I92" i="1" s="1"/>
  <c r="F90" i="1"/>
  <c r="AX90" i="1" s="1"/>
  <c r="AZ90" i="1" s="1"/>
  <c r="E90" i="1"/>
  <c r="D90" i="1"/>
  <c r="C90" i="1"/>
  <c r="AY90" i="1" s="1"/>
  <c r="B90" i="1"/>
  <c r="AZ89" i="1"/>
  <c r="AY89" i="1"/>
  <c r="BA89" i="1" s="1"/>
  <c r="AX89" i="1"/>
  <c r="AW89" i="1"/>
  <c r="AV89" i="1"/>
  <c r="AS89" i="1"/>
  <c r="AR89" i="1"/>
  <c r="AO89" i="1"/>
  <c r="AN89" i="1"/>
  <c r="AK89" i="1"/>
  <c r="AJ89" i="1"/>
  <c r="AG89" i="1"/>
  <c r="AF89" i="1"/>
  <c r="AC89" i="1"/>
  <c r="AB89" i="1"/>
  <c r="Y89" i="1"/>
  <c r="X89" i="1"/>
  <c r="U89" i="1"/>
  <c r="T89" i="1"/>
  <c r="Q89" i="1"/>
  <c r="P89" i="1"/>
  <c r="M89" i="1"/>
  <c r="L89" i="1"/>
  <c r="I89" i="1"/>
  <c r="H89" i="1"/>
  <c r="E89" i="1"/>
  <c r="D89" i="1"/>
  <c r="AU87" i="1"/>
  <c r="AR87" i="1"/>
  <c r="AQ87" i="1"/>
  <c r="AS87" i="1" s="1"/>
  <c r="AM87" i="1"/>
  <c r="AO87" i="1" s="1"/>
  <c r="AL87" i="1"/>
  <c r="AN87" i="1" s="1"/>
  <c r="AJ87" i="1"/>
  <c r="AI87" i="1"/>
  <c r="AK87" i="1" s="1"/>
  <c r="AH87" i="1"/>
  <c r="AE87" i="1"/>
  <c r="AD87" i="1"/>
  <c r="AF87" i="1" s="1"/>
  <c r="AB87" i="1"/>
  <c r="AA87" i="1"/>
  <c r="AC87" i="1" s="1"/>
  <c r="Z87" i="1"/>
  <c r="W87" i="1"/>
  <c r="Y87" i="1" s="1"/>
  <c r="V87" i="1"/>
  <c r="X87" i="1" s="1"/>
  <c r="T87" i="1"/>
  <c r="S87" i="1"/>
  <c r="U87" i="1" s="1"/>
  <c r="R87" i="1"/>
  <c r="O87" i="1"/>
  <c r="N87" i="1"/>
  <c r="L87" i="1"/>
  <c r="K87" i="1"/>
  <c r="M87" i="1" s="1"/>
  <c r="J87" i="1"/>
  <c r="G87" i="1"/>
  <c r="F87" i="1"/>
  <c r="D87" i="1"/>
  <c r="C87" i="1"/>
  <c r="E87" i="1" s="1"/>
  <c r="B87" i="1"/>
  <c r="AX87" i="1" s="1"/>
  <c r="AX86" i="1"/>
  <c r="AV86" i="1"/>
  <c r="AU86" i="1"/>
  <c r="AW86" i="1" s="1"/>
  <c r="AS86" i="1"/>
  <c r="AR86" i="1"/>
  <c r="AQ86" i="1"/>
  <c r="AN86" i="1"/>
  <c r="AM86" i="1"/>
  <c r="AO86" i="1" s="1"/>
  <c r="AK86" i="1"/>
  <c r="AJ86" i="1"/>
  <c r="AI86" i="1"/>
  <c r="AG86" i="1"/>
  <c r="AE86" i="1"/>
  <c r="AF86" i="1" s="1"/>
  <c r="AC86" i="1"/>
  <c r="AA86" i="1"/>
  <c r="AB86" i="1" s="1"/>
  <c r="W86" i="1"/>
  <c r="Y86" i="1" s="1"/>
  <c r="S86" i="1"/>
  <c r="P86" i="1"/>
  <c r="O86" i="1"/>
  <c r="Q86" i="1" s="1"/>
  <c r="M86" i="1"/>
  <c r="L86" i="1"/>
  <c r="K86" i="1"/>
  <c r="H86" i="1"/>
  <c r="G86" i="1"/>
  <c r="I86" i="1" s="1"/>
  <c r="E86" i="1"/>
  <c r="D86" i="1"/>
  <c r="C86" i="1"/>
  <c r="AV85" i="1"/>
  <c r="AU85" i="1"/>
  <c r="AW85" i="1" s="1"/>
  <c r="AS85" i="1"/>
  <c r="AR85" i="1"/>
  <c r="AQ85" i="1"/>
  <c r="AN85" i="1"/>
  <c r="AM85" i="1"/>
  <c r="AO85" i="1" s="1"/>
  <c r="AK85" i="1"/>
  <c r="AI85" i="1"/>
  <c r="AH85" i="1"/>
  <c r="AJ85" i="1" s="1"/>
  <c r="AE85" i="1"/>
  <c r="AB85" i="1"/>
  <c r="AA85" i="1"/>
  <c r="AC85" i="1" s="1"/>
  <c r="Z85" i="1"/>
  <c r="Y85" i="1"/>
  <c r="W85" i="1"/>
  <c r="X85" i="1" s="1"/>
  <c r="S85" i="1"/>
  <c r="U85" i="1" s="1"/>
  <c r="R85" i="1"/>
  <c r="Q85" i="1"/>
  <c r="P85" i="1"/>
  <c r="O85" i="1"/>
  <c r="K85" i="1"/>
  <c r="J85" i="1"/>
  <c r="L85" i="1" s="1"/>
  <c r="G85" i="1"/>
  <c r="I85" i="1" s="1"/>
  <c r="F85" i="1"/>
  <c r="D85" i="1"/>
  <c r="C85" i="1"/>
  <c r="AY85" i="1" s="1"/>
  <c r="B85" i="1"/>
  <c r="AX85" i="1" s="1"/>
  <c r="AZ85" i="1" s="1"/>
  <c r="AT84" i="1"/>
  <c r="AP84" i="1"/>
  <c r="AL84" i="1"/>
  <c r="AD84" i="1"/>
  <c r="AF84" i="1" s="1"/>
  <c r="V84" i="1"/>
  <c r="S84" i="1"/>
  <c r="N84" i="1"/>
  <c r="P84" i="1" s="1"/>
  <c r="F84" i="1"/>
  <c r="AU83" i="1"/>
  <c r="AW83" i="1" s="1"/>
  <c r="AQ83" i="1"/>
  <c r="AN83" i="1"/>
  <c r="AM83" i="1"/>
  <c r="AO83" i="1" s="1"/>
  <c r="AL83" i="1"/>
  <c r="AI83" i="1"/>
  <c r="AH83" i="1"/>
  <c r="AF83" i="1"/>
  <c r="AE83" i="1"/>
  <c r="AG83" i="1" s="1"/>
  <c r="AC83" i="1"/>
  <c r="AB83" i="1"/>
  <c r="AA83" i="1"/>
  <c r="X83" i="1"/>
  <c r="W83" i="1"/>
  <c r="Y83" i="1" s="1"/>
  <c r="U83" i="1"/>
  <c r="S83" i="1"/>
  <c r="R83" i="1"/>
  <c r="O83" i="1"/>
  <c r="Q83" i="1" s="1"/>
  <c r="N83" i="1"/>
  <c r="P83" i="1" s="1"/>
  <c r="M83" i="1"/>
  <c r="L83" i="1"/>
  <c r="K83" i="1"/>
  <c r="I83" i="1"/>
  <c r="G83" i="1"/>
  <c r="H83" i="1" s="1"/>
  <c r="C83" i="1"/>
  <c r="AV82" i="1"/>
  <c r="AU82" i="1"/>
  <c r="AW82" i="1" s="1"/>
  <c r="AS82" i="1"/>
  <c r="AR82" i="1"/>
  <c r="AQ82" i="1"/>
  <c r="AO82" i="1"/>
  <c r="AM82" i="1"/>
  <c r="AN82" i="1" s="1"/>
  <c r="AI82" i="1"/>
  <c r="AE82" i="1"/>
  <c r="AA82" i="1"/>
  <c r="X82" i="1"/>
  <c r="W82" i="1"/>
  <c r="W84" i="1" s="1"/>
  <c r="Y84" i="1" s="1"/>
  <c r="U82" i="1"/>
  <c r="T82" i="1"/>
  <c r="S82" i="1"/>
  <c r="P82" i="1"/>
  <c r="O82" i="1"/>
  <c r="Q82" i="1" s="1"/>
  <c r="M82" i="1"/>
  <c r="K82" i="1"/>
  <c r="J82" i="1"/>
  <c r="G82" i="1"/>
  <c r="D82" i="1"/>
  <c r="C82" i="1"/>
  <c r="E82" i="1" s="1"/>
  <c r="AU81" i="1"/>
  <c r="AQ81" i="1"/>
  <c r="AM81" i="1"/>
  <c r="AI81" i="1"/>
  <c r="AH81" i="1"/>
  <c r="AG81" i="1"/>
  <c r="AE81" i="1"/>
  <c r="AE84" i="1" s="1"/>
  <c r="AA81" i="1"/>
  <c r="Z81" i="1"/>
  <c r="Y81" i="1"/>
  <c r="X81" i="1"/>
  <c r="W81" i="1"/>
  <c r="T81" i="1"/>
  <c r="S81" i="1"/>
  <c r="U81" i="1" s="1"/>
  <c r="Q81" i="1"/>
  <c r="P81" i="1"/>
  <c r="O81" i="1"/>
  <c r="O84" i="1" s="1"/>
  <c r="N81" i="1"/>
  <c r="K81" i="1"/>
  <c r="G81" i="1"/>
  <c r="F81" i="1"/>
  <c r="E81" i="1"/>
  <c r="C81" i="1"/>
  <c r="B81" i="1"/>
  <c r="AX80" i="1"/>
  <c r="AW80" i="1"/>
  <c r="AU80" i="1"/>
  <c r="AV80" i="1" s="1"/>
  <c r="AS80" i="1"/>
  <c r="AQ80" i="1"/>
  <c r="AR80" i="1" s="1"/>
  <c r="AO80" i="1"/>
  <c r="AM80" i="1"/>
  <c r="AN80" i="1" s="1"/>
  <c r="AI80" i="1"/>
  <c r="AE80" i="1"/>
  <c r="AC80" i="1"/>
  <c r="AB80" i="1"/>
  <c r="AA80" i="1"/>
  <c r="X80" i="1"/>
  <c r="W80" i="1"/>
  <c r="Y80" i="1" s="1"/>
  <c r="U80" i="1"/>
  <c r="T80" i="1"/>
  <c r="S80" i="1"/>
  <c r="Q80" i="1"/>
  <c r="O80" i="1"/>
  <c r="P80" i="1" s="1"/>
  <c r="M80" i="1"/>
  <c r="K80" i="1"/>
  <c r="L80" i="1" s="1"/>
  <c r="G80" i="1"/>
  <c r="H80" i="1" s="1"/>
  <c r="C80" i="1"/>
  <c r="AW79" i="1"/>
  <c r="AU79" i="1"/>
  <c r="AV79" i="1" s="1"/>
  <c r="AS79" i="1"/>
  <c r="AQ79" i="1"/>
  <c r="AO79" i="1"/>
  <c r="AN79" i="1"/>
  <c r="AM79" i="1"/>
  <c r="AL79" i="1"/>
  <c r="AK79" i="1"/>
  <c r="AI79" i="1"/>
  <c r="AJ79" i="1" s="1"/>
  <c r="AE79" i="1"/>
  <c r="AF79" i="1" s="1"/>
  <c r="AA79" i="1"/>
  <c r="AC79" i="1" s="1"/>
  <c r="Z79" i="1"/>
  <c r="AB79" i="1" s="1"/>
  <c r="Y79" i="1"/>
  <c r="X79" i="1"/>
  <c r="W79" i="1"/>
  <c r="U79" i="1"/>
  <c r="S79" i="1"/>
  <c r="T79" i="1" s="1"/>
  <c r="O79" i="1"/>
  <c r="M79" i="1"/>
  <c r="K79" i="1"/>
  <c r="L79" i="1" s="1"/>
  <c r="G79" i="1"/>
  <c r="D79" i="1"/>
  <c r="C79" i="1"/>
  <c r="E79" i="1" s="1"/>
  <c r="AT78" i="1"/>
  <c r="AM78" i="1"/>
  <c r="AD78" i="1"/>
  <c r="V78" i="1"/>
  <c r="O78" i="1"/>
  <c r="N78" i="1"/>
  <c r="P78" i="1" s="1"/>
  <c r="J78" i="1"/>
  <c r="F78" i="1"/>
  <c r="AX77" i="1"/>
  <c r="AW77" i="1"/>
  <c r="AV77" i="1"/>
  <c r="AU77" i="1"/>
  <c r="AQ77" i="1"/>
  <c r="AM77" i="1"/>
  <c r="AN77" i="1" s="1"/>
  <c r="AK77" i="1"/>
  <c r="AI77" i="1"/>
  <c r="AJ77" i="1" s="1"/>
  <c r="AE77" i="1"/>
  <c r="AC77" i="1"/>
  <c r="AA77" i="1"/>
  <c r="AB77" i="1" s="1"/>
  <c r="W77" i="1"/>
  <c r="S77" i="1"/>
  <c r="R77" i="1"/>
  <c r="Q77" i="1"/>
  <c r="P77" i="1"/>
  <c r="O77" i="1"/>
  <c r="M77" i="1"/>
  <c r="L77" i="1"/>
  <c r="K77" i="1"/>
  <c r="G77" i="1"/>
  <c r="I77" i="1" s="1"/>
  <c r="F77" i="1"/>
  <c r="C77" i="1"/>
  <c r="AU76" i="1"/>
  <c r="AR76" i="1"/>
  <c r="AQ76" i="1"/>
  <c r="AP78" i="1"/>
  <c r="AM76" i="1"/>
  <c r="AL76" i="1"/>
  <c r="AI76" i="1"/>
  <c r="AI78" i="1" s="1"/>
  <c r="AH76" i="1"/>
  <c r="AG76" i="1"/>
  <c r="AE76" i="1"/>
  <c r="AD76" i="1"/>
  <c r="AF76" i="1" s="1"/>
  <c r="AA76" i="1"/>
  <c r="Z76" i="1"/>
  <c r="AX76" i="1" s="1"/>
  <c r="Y76" i="1"/>
  <c r="X76" i="1"/>
  <c r="W76" i="1"/>
  <c r="S76" i="1"/>
  <c r="R76" i="1"/>
  <c r="Q76" i="1"/>
  <c r="P76" i="1"/>
  <c r="O76" i="1"/>
  <c r="N76" i="1"/>
  <c r="K76" i="1"/>
  <c r="G76" i="1"/>
  <c r="F76" i="1"/>
  <c r="C76" i="1"/>
  <c r="B76" i="1"/>
  <c r="AX75" i="1"/>
  <c r="AV75" i="1"/>
  <c r="AU75" i="1"/>
  <c r="AW75" i="1" s="1"/>
  <c r="AQ75" i="1"/>
  <c r="AO75" i="1"/>
  <c r="AN75" i="1"/>
  <c r="AM75" i="1"/>
  <c r="AK75" i="1"/>
  <c r="AI75" i="1"/>
  <c r="AJ75" i="1" s="1"/>
  <c r="AG75" i="1"/>
  <c r="AF75" i="1"/>
  <c r="AE75" i="1"/>
  <c r="AA75" i="1"/>
  <c r="AB75" i="1" s="1"/>
  <c r="Y75" i="1"/>
  <c r="W75" i="1"/>
  <c r="X75" i="1" s="1"/>
  <c r="U75" i="1"/>
  <c r="T75" i="1"/>
  <c r="S75" i="1"/>
  <c r="P75" i="1"/>
  <c r="O75" i="1"/>
  <c r="Q75" i="1" s="1"/>
  <c r="M75" i="1"/>
  <c r="K75" i="1"/>
  <c r="L75" i="1" s="1"/>
  <c r="I75" i="1"/>
  <c r="H75" i="1"/>
  <c r="G75" i="1"/>
  <c r="E75" i="1"/>
  <c r="D75" i="1"/>
  <c r="C75" i="1"/>
  <c r="AT74" i="1"/>
  <c r="AP74" i="1"/>
  <c r="AO74" i="1"/>
  <c r="AM74" i="1"/>
  <c r="AH74" i="1"/>
  <c r="AD74" i="1"/>
  <c r="Z74" i="1"/>
  <c r="R74" i="1"/>
  <c r="O74" i="1"/>
  <c r="J74" i="1"/>
  <c r="I74" i="1"/>
  <c r="G74" i="1"/>
  <c r="F74" i="1"/>
  <c r="B74" i="1"/>
  <c r="AW73" i="1"/>
  <c r="AU73" i="1"/>
  <c r="AV73" i="1" s="1"/>
  <c r="AS73" i="1"/>
  <c r="AR73" i="1"/>
  <c r="AQ73" i="1"/>
  <c r="AO73" i="1"/>
  <c r="AN73" i="1"/>
  <c r="AM73" i="1"/>
  <c r="AI73" i="1"/>
  <c r="AH73" i="1"/>
  <c r="AG73" i="1"/>
  <c r="AF73" i="1"/>
  <c r="AE73" i="1"/>
  <c r="AA73" i="1"/>
  <c r="W73" i="1"/>
  <c r="V73" i="1"/>
  <c r="U73" i="1"/>
  <c r="S73" i="1"/>
  <c r="T73" i="1" s="1"/>
  <c r="O73" i="1"/>
  <c r="N73" i="1"/>
  <c r="Q73" i="1" s="1"/>
  <c r="M73" i="1"/>
  <c r="L73" i="1"/>
  <c r="K73" i="1"/>
  <c r="J73" i="1"/>
  <c r="I73" i="1"/>
  <c r="H73" i="1"/>
  <c r="G73" i="1"/>
  <c r="E73" i="1"/>
  <c r="D73" i="1"/>
  <c r="C73" i="1"/>
  <c r="AU72" i="1"/>
  <c r="AW72" i="1" s="1"/>
  <c r="AS72" i="1"/>
  <c r="AQ72" i="1"/>
  <c r="AR72" i="1" s="1"/>
  <c r="AO72" i="1"/>
  <c r="AN72" i="1"/>
  <c r="AM72" i="1"/>
  <c r="AL72" i="1"/>
  <c r="AL74" i="1" s="1"/>
  <c r="AN74" i="1" s="1"/>
  <c r="AK72" i="1"/>
  <c r="AJ72" i="1"/>
  <c r="AI72" i="1"/>
  <c r="AE72" i="1"/>
  <c r="AB72" i="1"/>
  <c r="AA72" i="1"/>
  <c r="AC72" i="1" s="1"/>
  <c r="Y72" i="1"/>
  <c r="W72" i="1"/>
  <c r="X72" i="1" s="1"/>
  <c r="U72" i="1"/>
  <c r="T72" i="1"/>
  <c r="S72" i="1"/>
  <c r="Q72" i="1"/>
  <c r="P72" i="1"/>
  <c r="O72" i="1"/>
  <c r="N72" i="1"/>
  <c r="K72" i="1"/>
  <c r="G72" i="1"/>
  <c r="I72" i="1" s="1"/>
  <c r="E72" i="1"/>
  <c r="C72" i="1"/>
  <c r="D72" i="1" s="1"/>
  <c r="AX71" i="1"/>
  <c r="AW71" i="1"/>
  <c r="AV71" i="1"/>
  <c r="AU71" i="1"/>
  <c r="AQ71" i="1"/>
  <c r="AM71" i="1"/>
  <c r="AO71" i="1" s="1"/>
  <c r="AK71" i="1"/>
  <c r="AI71" i="1"/>
  <c r="AJ71" i="1" s="1"/>
  <c r="AG71" i="1"/>
  <c r="AF71" i="1"/>
  <c r="AE71" i="1"/>
  <c r="AC71" i="1"/>
  <c r="AB71" i="1"/>
  <c r="AA71" i="1"/>
  <c r="AA74" i="1" s="1"/>
  <c r="AC74" i="1" s="1"/>
  <c r="W71" i="1"/>
  <c r="U71" i="1"/>
  <c r="S71" i="1"/>
  <c r="Q71" i="1"/>
  <c r="P71" i="1"/>
  <c r="O71" i="1"/>
  <c r="N71" i="1"/>
  <c r="M71" i="1"/>
  <c r="L71" i="1"/>
  <c r="K71" i="1"/>
  <c r="G71" i="1"/>
  <c r="C71" i="1"/>
  <c r="AW70" i="1"/>
  <c r="AU70" i="1"/>
  <c r="AV70" i="1" s="1"/>
  <c r="AS70" i="1"/>
  <c r="AR70" i="1"/>
  <c r="AQ70" i="1"/>
  <c r="AO70" i="1"/>
  <c r="AN70" i="1"/>
  <c r="AM70" i="1"/>
  <c r="AI70" i="1"/>
  <c r="AK70" i="1" s="1"/>
  <c r="AH70" i="1"/>
  <c r="AE70" i="1"/>
  <c r="AG70" i="1" s="1"/>
  <c r="AD70" i="1"/>
  <c r="AA70" i="1"/>
  <c r="Z70" i="1"/>
  <c r="AB70" i="1" s="1"/>
  <c r="W70" i="1"/>
  <c r="Y70" i="1" s="1"/>
  <c r="U70" i="1"/>
  <c r="S70" i="1"/>
  <c r="T70" i="1" s="1"/>
  <c r="Q70" i="1"/>
  <c r="P70" i="1"/>
  <c r="O70" i="1"/>
  <c r="M70" i="1"/>
  <c r="K70" i="1"/>
  <c r="L70" i="1" s="1"/>
  <c r="J70" i="1"/>
  <c r="G70" i="1"/>
  <c r="D70" i="1"/>
  <c r="C70" i="1"/>
  <c r="E70" i="1" s="1"/>
  <c r="AX69" i="1"/>
  <c r="AW69" i="1"/>
  <c r="AU69" i="1"/>
  <c r="AV69" i="1" s="1"/>
  <c r="AS69" i="1"/>
  <c r="AR69" i="1"/>
  <c r="AQ69" i="1"/>
  <c r="AM69" i="1"/>
  <c r="AO69" i="1" s="1"/>
  <c r="AI69" i="1"/>
  <c r="AK69" i="1" s="1"/>
  <c r="AG69" i="1"/>
  <c r="AE69" i="1"/>
  <c r="AF69" i="1" s="1"/>
  <c r="AC69" i="1"/>
  <c r="AB69" i="1"/>
  <c r="AA69" i="1"/>
  <c r="Y69" i="1"/>
  <c r="W69" i="1"/>
  <c r="X69" i="1" s="1"/>
  <c r="S69" i="1"/>
  <c r="O69" i="1"/>
  <c r="M69" i="1"/>
  <c r="L69" i="1"/>
  <c r="K69" i="1"/>
  <c r="G69" i="1"/>
  <c r="I69" i="1" s="1"/>
  <c r="C69" i="1"/>
  <c r="AX68" i="1"/>
  <c r="AU68" i="1"/>
  <c r="AV68" i="1" s="1"/>
  <c r="AS68" i="1"/>
  <c r="AR68" i="1"/>
  <c r="AQ68" i="1"/>
  <c r="AM68" i="1"/>
  <c r="AJ68" i="1"/>
  <c r="AI68" i="1"/>
  <c r="AK68" i="1" s="1"/>
  <c r="AG68" i="1"/>
  <c r="AE68" i="1"/>
  <c r="AF68" i="1" s="1"/>
  <c r="AC68" i="1"/>
  <c r="AB68" i="1"/>
  <c r="AA68" i="1"/>
  <c r="Y68" i="1"/>
  <c r="X68" i="1"/>
  <c r="W68" i="1"/>
  <c r="S68" i="1"/>
  <c r="O68" i="1"/>
  <c r="P68" i="1" s="1"/>
  <c r="M68" i="1"/>
  <c r="L68" i="1"/>
  <c r="K68" i="1"/>
  <c r="H68" i="1"/>
  <c r="G68" i="1"/>
  <c r="I68" i="1" s="1"/>
  <c r="D68" i="1"/>
  <c r="C68" i="1"/>
  <c r="AU67" i="1"/>
  <c r="AW67" i="1" s="1"/>
  <c r="AT67" i="1"/>
  <c r="AP67" i="1"/>
  <c r="AL67" i="1"/>
  <c r="AH67" i="1"/>
  <c r="Z67" i="1"/>
  <c r="V67" i="1"/>
  <c r="X67" i="1" s="1"/>
  <c r="R67" i="1"/>
  <c r="N67" i="1"/>
  <c r="I67" i="1"/>
  <c r="G67" i="1"/>
  <c r="AW66" i="1"/>
  <c r="AU66" i="1"/>
  <c r="AV66" i="1" s="1"/>
  <c r="AS66" i="1"/>
  <c r="AR66" i="1"/>
  <c r="AQ66" i="1"/>
  <c r="AM66" i="1"/>
  <c r="AO66" i="1" s="1"/>
  <c r="AI66" i="1"/>
  <c r="AG66" i="1"/>
  <c r="AE66" i="1"/>
  <c r="AF66" i="1" s="1"/>
  <c r="AC66" i="1"/>
  <c r="AB66" i="1"/>
  <c r="AA66" i="1"/>
  <c r="W66" i="1"/>
  <c r="Y66" i="1" s="1"/>
  <c r="V66" i="1"/>
  <c r="U66" i="1"/>
  <c r="S66" i="1"/>
  <c r="T66" i="1" s="1"/>
  <c r="O66" i="1"/>
  <c r="M66" i="1"/>
  <c r="K66" i="1"/>
  <c r="L66" i="1" s="1"/>
  <c r="H66" i="1"/>
  <c r="G66" i="1"/>
  <c r="F66" i="1"/>
  <c r="AX66" i="1" s="1"/>
  <c r="E66" i="1"/>
  <c r="D66" i="1"/>
  <c r="C66" i="1"/>
  <c r="AW65" i="1"/>
  <c r="AU65" i="1"/>
  <c r="AV65" i="1" s="1"/>
  <c r="AQ65" i="1"/>
  <c r="AS65" i="1" s="1"/>
  <c r="AM65" i="1"/>
  <c r="AN65" i="1" s="1"/>
  <c r="AK65" i="1"/>
  <c r="AJ65" i="1"/>
  <c r="AI65" i="1"/>
  <c r="AG65" i="1"/>
  <c r="AE65" i="1"/>
  <c r="AF65" i="1" s="1"/>
  <c r="AD65" i="1"/>
  <c r="AA65" i="1"/>
  <c r="AC65" i="1" s="1"/>
  <c r="W65" i="1"/>
  <c r="Y65" i="1" s="1"/>
  <c r="S65" i="1"/>
  <c r="T65" i="1" s="1"/>
  <c r="Q65" i="1"/>
  <c r="P65" i="1"/>
  <c r="O65" i="1"/>
  <c r="M65" i="1"/>
  <c r="K65" i="1"/>
  <c r="L65" i="1" s="1"/>
  <c r="G65" i="1"/>
  <c r="I65" i="1" s="1"/>
  <c r="C65" i="1"/>
  <c r="E65" i="1" s="1"/>
  <c r="B65" i="1"/>
  <c r="AU64" i="1"/>
  <c r="AV64" i="1" s="1"/>
  <c r="AS64" i="1"/>
  <c r="AR64" i="1"/>
  <c r="AQ64" i="1"/>
  <c r="AO64" i="1"/>
  <c r="AM64" i="1"/>
  <c r="AN64" i="1" s="1"/>
  <c r="AL64" i="1"/>
  <c r="AI64" i="1"/>
  <c r="AK64" i="1" s="1"/>
  <c r="AE64" i="1"/>
  <c r="AG64" i="1" s="1"/>
  <c r="AA64" i="1"/>
  <c r="AB64" i="1" s="1"/>
  <c r="W64" i="1"/>
  <c r="V64" i="1"/>
  <c r="Y64" i="1" s="1"/>
  <c r="U64" i="1"/>
  <c r="T64" i="1"/>
  <c r="S64" i="1"/>
  <c r="Q64" i="1"/>
  <c r="O64" i="1"/>
  <c r="P64" i="1" s="1"/>
  <c r="K64" i="1"/>
  <c r="J64" i="1"/>
  <c r="H64" i="1"/>
  <c r="G64" i="1"/>
  <c r="F64" i="1"/>
  <c r="F67" i="1" s="1"/>
  <c r="H67" i="1" s="1"/>
  <c r="C64" i="1"/>
  <c r="E64" i="1" s="1"/>
  <c r="AX63" i="1"/>
  <c r="AW63" i="1"/>
  <c r="AU63" i="1"/>
  <c r="AV63" i="1" s="1"/>
  <c r="AS63" i="1"/>
  <c r="AR63" i="1"/>
  <c r="AQ63" i="1"/>
  <c r="AM63" i="1"/>
  <c r="AJ63" i="1"/>
  <c r="AI63" i="1"/>
  <c r="AK63" i="1" s="1"/>
  <c r="AG63" i="1"/>
  <c r="AE63" i="1"/>
  <c r="AF63" i="1" s="1"/>
  <c r="AC63" i="1"/>
  <c r="AB63" i="1"/>
  <c r="AA63" i="1"/>
  <c r="Y63" i="1"/>
  <c r="X63" i="1"/>
  <c r="W63" i="1"/>
  <c r="W67" i="1" s="1"/>
  <c r="V63" i="1"/>
  <c r="T63" i="1"/>
  <c r="S63" i="1"/>
  <c r="O63" i="1"/>
  <c r="M63" i="1"/>
  <c r="K63" i="1"/>
  <c r="L63" i="1" s="1"/>
  <c r="I63" i="1"/>
  <c r="H63" i="1"/>
  <c r="G63" i="1"/>
  <c r="C63" i="1"/>
  <c r="AU62" i="1"/>
  <c r="AW62" i="1" s="1"/>
  <c r="AQ62" i="1"/>
  <c r="AO62" i="1"/>
  <c r="AN62" i="1"/>
  <c r="AM62" i="1"/>
  <c r="AK62" i="1"/>
  <c r="AI62" i="1"/>
  <c r="AE62" i="1"/>
  <c r="AD62" i="1"/>
  <c r="AB62" i="1"/>
  <c r="AA62" i="1"/>
  <c r="Y62" i="1"/>
  <c r="W62" i="1"/>
  <c r="X62" i="1" s="1"/>
  <c r="U62" i="1"/>
  <c r="T62" i="1"/>
  <c r="S62" i="1"/>
  <c r="Q62" i="1"/>
  <c r="P62" i="1"/>
  <c r="O62" i="1"/>
  <c r="L62" i="1"/>
  <c r="K62" i="1"/>
  <c r="I62" i="1"/>
  <c r="G62" i="1"/>
  <c r="H62" i="1" s="1"/>
  <c r="E62" i="1"/>
  <c r="D62" i="1"/>
  <c r="C62" i="1"/>
  <c r="AX61" i="1"/>
  <c r="AU61" i="1"/>
  <c r="AR61" i="1"/>
  <c r="AQ61" i="1"/>
  <c r="AS61" i="1" s="1"/>
  <c r="AO61" i="1"/>
  <c r="AM61" i="1"/>
  <c r="AN61" i="1" s="1"/>
  <c r="AK61" i="1"/>
  <c r="AJ61" i="1"/>
  <c r="AI61" i="1"/>
  <c r="AG61" i="1"/>
  <c r="AF61" i="1"/>
  <c r="AE61" i="1"/>
  <c r="AB61" i="1"/>
  <c r="AA61" i="1"/>
  <c r="AC61" i="1" s="1"/>
  <c r="Y61" i="1"/>
  <c r="W61" i="1"/>
  <c r="X61" i="1" s="1"/>
  <c r="U61" i="1"/>
  <c r="T61" i="1"/>
  <c r="S61" i="1"/>
  <c r="Q61" i="1"/>
  <c r="P61" i="1"/>
  <c r="O61" i="1"/>
  <c r="L61" i="1"/>
  <c r="K61" i="1"/>
  <c r="M61" i="1" s="1"/>
  <c r="G61" i="1"/>
  <c r="E61" i="1"/>
  <c r="D61" i="1"/>
  <c r="C61" i="1"/>
  <c r="AU60" i="1"/>
  <c r="AW60" i="1" s="1"/>
  <c r="AQ60" i="1"/>
  <c r="AM60" i="1"/>
  <c r="AO60" i="1" s="1"/>
  <c r="AL60" i="1"/>
  <c r="AI60" i="1"/>
  <c r="AG60" i="1"/>
  <c r="AF60" i="1"/>
  <c r="AE60" i="1"/>
  <c r="AB60" i="1"/>
  <c r="AA60" i="1"/>
  <c r="AC60" i="1" s="1"/>
  <c r="W60" i="1"/>
  <c r="U60" i="1"/>
  <c r="S60" i="1"/>
  <c r="T60" i="1" s="1"/>
  <c r="Q60" i="1"/>
  <c r="P60" i="1"/>
  <c r="O60" i="1"/>
  <c r="K60" i="1"/>
  <c r="H60" i="1"/>
  <c r="G60" i="1"/>
  <c r="F60" i="1"/>
  <c r="AX60" i="1" s="1"/>
  <c r="C60" i="1"/>
  <c r="E60" i="1" s="1"/>
  <c r="AX59" i="1"/>
  <c r="AW59" i="1"/>
  <c r="AU59" i="1"/>
  <c r="AV59" i="1" s="1"/>
  <c r="AS59" i="1"/>
  <c r="AR59" i="1"/>
  <c r="AQ59" i="1"/>
  <c r="AM59" i="1"/>
  <c r="AI59" i="1"/>
  <c r="AK59" i="1" s="1"/>
  <c r="AG59" i="1"/>
  <c r="AE59" i="1"/>
  <c r="AF59" i="1" s="1"/>
  <c r="AC59" i="1"/>
  <c r="AB59" i="1"/>
  <c r="AA59" i="1"/>
  <c r="Y59" i="1"/>
  <c r="W59" i="1"/>
  <c r="X59" i="1" s="1"/>
  <c r="T59" i="1"/>
  <c r="S59" i="1"/>
  <c r="U59" i="1" s="1"/>
  <c r="Q59" i="1"/>
  <c r="O59" i="1"/>
  <c r="P59" i="1" s="1"/>
  <c r="K59" i="1"/>
  <c r="M59" i="1" s="1"/>
  <c r="J59" i="1"/>
  <c r="L59" i="1" s="1"/>
  <c r="I59" i="1"/>
  <c r="H59" i="1"/>
  <c r="G59" i="1"/>
  <c r="C59" i="1"/>
  <c r="AY58" i="1"/>
  <c r="BA58" i="1" s="1"/>
  <c r="AW58" i="1"/>
  <c r="AV58" i="1"/>
  <c r="AS58" i="1"/>
  <c r="AR58" i="1"/>
  <c r="AO58" i="1"/>
  <c r="AN58" i="1"/>
  <c r="AK58" i="1"/>
  <c r="AJ58" i="1"/>
  <c r="AG58" i="1"/>
  <c r="AF58" i="1"/>
  <c r="AC58" i="1"/>
  <c r="AB58" i="1"/>
  <c r="Y58" i="1"/>
  <c r="X58" i="1"/>
  <c r="V58" i="1"/>
  <c r="U58" i="1"/>
  <c r="T58" i="1"/>
  <c r="Q58" i="1"/>
  <c r="N58" i="1"/>
  <c r="P58" i="1" s="1"/>
  <c r="M58" i="1"/>
  <c r="J58" i="1"/>
  <c r="L58" i="1" s="1"/>
  <c r="I58" i="1"/>
  <c r="H58" i="1"/>
  <c r="F58" i="1"/>
  <c r="E58" i="1"/>
  <c r="D58" i="1"/>
  <c r="AU57" i="1"/>
  <c r="AW57" i="1" s="1"/>
  <c r="AQ57" i="1"/>
  <c r="AM57" i="1"/>
  <c r="AL57" i="1"/>
  <c r="AO57" i="1" s="1"/>
  <c r="AK57" i="1"/>
  <c r="AI57" i="1"/>
  <c r="AJ57" i="1" s="1"/>
  <c r="AH57" i="1"/>
  <c r="AE57" i="1"/>
  <c r="AD57" i="1"/>
  <c r="AG57" i="1" s="1"/>
  <c r="AA57" i="1"/>
  <c r="Z57" i="1"/>
  <c r="W57" i="1"/>
  <c r="V57" i="1"/>
  <c r="Y57" i="1" s="1"/>
  <c r="T57" i="1"/>
  <c r="S57" i="1"/>
  <c r="R57" i="1"/>
  <c r="U57" i="1" s="1"/>
  <c r="O57" i="1"/>
  <c r="N57" i="1"/>
  <c r="Q57" i="1" s="1"/>
  <c r="M57" i="1"/>
  <c r="K57" i="1"/>
  <c r="J57" i="1"/>
  <c r="L57" i="1" s="1"/>
  <c r="G57" i="1"/>
  <c r="F57" i="1"/>
  <c r="I57" i="1" s="1"/>
  <c r="C57" i="1"/>
  <c r="D57" i="1" s="1"/>
  <c r="B57" i="1"/>
  <c r="AW56" i="1"/>
  <c r="AV56" i="1"/>
  <c r="AU56" i="1"/>
  <c r="AS56" i="1"/>
  <c r="AQ56" i="1"/>
  <c r="AR56" i="1" s="1"/>
  <c r="AM56" i="1"/>
  <c r="AL56" i="1"/>
  <c r="AN56" i="1" s="1"/>
  <c r="AK56" i="1"/>
  <c r="AJ56" i="1"/>
  <c r="AI56" i="1"/>
  <c r="AH56" i="1"/>
  <c r="AE56" i="1"/>
  <c r="AD56" i="1"/>
  <c r="AF56" i="1" s="1"/>
  <c r="AC56" i="1"/>
  <c r="AB56" i="1"/>
  <c r="AA56" i="1"/>
  <c r="Z56" i="1"/>
  <c r="W56" i="1"/>
  <c r="Y56" i="1" s="1"/>
  <c r="V56" i="1"/>
  <c r="U56" i="1"/>
  <c r="T56" i="1"/>
  <c r="S56" i="1"/>
  <c r="R56" i="1"/>
  <c r="O56" i="1"/>
  <c r="N56" i="1"/>
  <c r="P56" i="1" s="1"/>
  <c r="M56" i="1"/>
  <c r="L56" i="1"/>
  <c r="K56" i="1"/>
  <c r="J56" i="1"/>
  <c r="G56" i="1"/>
  <c r="F56" i="1"/>
  <c r="H56" i="1" s="1"/>
  <c r="E56" i="1"/>
  <c r="D56" i="1"/>
  <c r="C56" i="1"/>
  <c r="AY56" i="1" s="1"/>
  <c r="B56" i="1"/>
  <c r="AW55" i="1"/>
  <c r="AV55" i="1"/>
  <c r="AU55" i="1"/>
  <c r="AQ55" i="1"/>
  <c r="AO55" i="1"/>
  <c r="AM55" i="1"/>
  <c r="AN55" i="1" s="1"/>
  <c r="AK55" i="1"/>
  <c r="AI55" i="1"/>
  <c r="AJ55" i="1" s="1"/>
  <c r="AF55" i="1"/>
  <c r="AE55" i="1"/>
  <c r="AD55" i="1"/>
  <c r="AC55" i="1"/>
  <c r="AB55" i="1"/>
  <c r="AA55" i="1"/>
  <c r="Y55" i="1"/>
  <c r="W55" i="1"/>
  <c r="V55" i="1"/>
  <c r="X55" i="1" s="1"/>
  <c r="S55" i="1"/>
  <c r="R55" i="1"/>
  <c r="O55" i="1"/>
  <c r="Q55" i="1" s="1"/>
  <c r="N55" i="1"/>
  <c r="M55" i="1"/>
  <c r="K55" i="1"/>
  <c r="L55" i="1" s="1"/>
  <c r="J55" i="1"/>
  <c r="G55" i="1"/>
  <c r="F55" i="1"/>
  <c r="H55" i="1" s="1"/>
  <c r="E55" i="1"/>
  <c r="D55" i="1"/>
  <c r="C55" i="1"/>
  <c r="B55" i="1"/>
  <c r="AT54" i="1"/>
  <c r="AP54" i="1"/>
  <c r="Z54" i="1"/>
  <c r="R54" i="1"/>
  <c r="AW53" i="1"/>
  <c r="AU53" i="1"/>
  <c r="AV53" i="1" s="1"/>
  <c r="AS53" i="1"/>
  <c r="AQ53" i="1"/>
  <c r="AR53" i="1" s="1"/>
  <c r="AO53" i="1"/>
  <c r="AM53" i="1"/>
  <c r="AN53" i="1" s="1"/>
  <c r="AI53" i="1"/>
  <c r="AK53" i="1" s="1"/>
  <c r="AG53" i="1"/>
  <c r="AF53" i="1"/>
  <c r="AE53" i="1"/>
  <c r="AD53" i="1"/>
  <c r="AX53" i="1" s="1"/>
  <c r="AC53" i="1"/>
  <c r="AA53" i="1"/>
  <c r="AB53" i="1" s="1"/>
  <c r="Y53" i="1"/>
  <c r="X53" i="1"/>
  <c r="W53" i="1"/>
  <c r="U53" i="1"/>
  <c r="S53" i="1"/>
  <c r="T53" i="1" s="1"/>
  <c r="O53" i="1"/>
  <c r="K53" i="1"/>
  <c r="M53" i="1" s="1"/>
  <c r="I53" i="1"/>
  <c r="H53" i="1"/>
  <c r="G53" i="1"/>
  <c r="E53" i="1"/>
  <c r="D53" i="1"/>
  <c r="C53" i="1"/>
  <c r="AV52" i="1"/>
  <c r="AU52" i="1"/>
  <c r="AW52" i="1" s="1"/>
  <c r="AS52" i="1"/>
  <c r="AR52" i="1"/>
  <c r="AQ52" i="1"/>
  <c r="AN52" i="1"/>
  <c r="AM52" i="1"/>
  <c r="AL52" i="1"/>
  <c r="AO52" i="1" s="1"/>
  <c r="AI52" i="1"/>
  <c r="AH52" i="1"/>
  <c r="AE52" i="1"/>
  <c r="AD52" i="1"/>
  <c r="AB52" i="1"/>
  <c r="AA52" i="1"/>
  <c r="Z52" i="1"/>
  <c r="AC52" i="1" s="1"/>
  <c r="Y52" i="1"/>
  <c r="X52" i="1"/>
  <c r="W52" i="1"/>
  <c r="U52" i="1"/>
  <c r="S52" i="1"/>
  <c r="T52" i="1" s="1"/>
  <c r="R52" i="1"/>
  <c r="O52" i="1"/>
  <c r="N52" i="1"/>
  <c r="K52" i="1"/>
  <c r="J52" i="1"/>
  <c r="G52" i="1"/>
  <c r="H52" i="1" s="1"/>
  <c r="F52" i="1"/>
  <c r="C52" i="1"/>
  <c r="B52" i="1"/>
  <c r="BA51" i="1"/>
  <c r="AW51" i="1"/>
  <c r="AV51" i="1"/>
  <c r="AU51" i="1"/>
  <c r="AS51" i="1"/>
  <c r="AR51" i="1"/>
  <c r="AQ51" i="1"/>
  <c r="AO51" i="1"/>
  <c r="AM51" i="1"/>
  <c r="AN51" i="1" s="1"/>
  <c r="AK51" i="1"/>
  <c r="AJ51" i="1"/>
  <c r="AI51" i="1"/>
  <c r="AG51" i="1"/>
  <c r="AE51" i="1"/>
  <c r="AD51" i="1"/>
  <c r="AX51" i="1" s="1"/>
  <c r="AC51" i="1"/>
  <c r="AA51" i="1"/>
  <c r="AB51" i="1" s="1"/>
  <c r="Y51" i="1"/>
  <c r="X51" i="1"/>
  <c r="W51" i="1"/>
  <c r="U51" i="1"/>
  <c r="S51" i="1"/>
  <c r="T51" i="1" s="1"/>
  <c r="Q51" i="1"/>
  <c r="O51" i="1"/>
  <c r="P51" i="1" s="1"/>
  <c r="M51" i="1"/>
  <c r="K51" i="1"/>
  <c r="L51" i="1" s="1"/>
  <c r="H51" i="1"/>
  <c r="G51" i="1"/>
  <c r="I51" i="1" s="1"/>
  <c r="E51" i="1"/>
  <c r="D51" i="1"/>
  <c r="C51" i="1"/>
  <c r="AY51" i="1" s="1"/>
  <c r="AX50" i="1"/>
  <c r="AU50" i="1"/>
  <c r="AQ50" i="1"/>
  <c r="AM50" i="1"/>
  <c r="AO50" i="1" s="1"/>
  <c r="AK50" i="1"/>
  <c r="AI50" i="1"/>
  <c r="AJ50" i="1" s="1"/>
  <c r="AG50" i="1"/>
  <c r="AF50" i="1"/>
  <c r="AE50" i="1"/>
  <c r="AA50" i="1"/>
  <c r="Y50" i="1"/>
  <c r="X50" i="1"/>
  <c r="W50" i="1"/>
  <c r="S50" i="1"/>
  <c r="O50" i="1"/>
  <c r="K50" i="1"/>
  <c r="H50" i="1"/>
  <c r="G50" i="1"/>
  <c r="I50" i="1" s="1"/>
  <c r="E50" i="1"/>
  <c r="C50" i="1"/>
  <c r="AW49" i="1"/>
  <c r="AV49" i="1"/>
  <c r="AU49" i="1"/>
  <c r="AS49" i="1"/>
  <c r="AQ49" i="1"/>
  <c r="AR49" i="1" s="1"/>
  <c r="AO49" i="1"/>
  <c r="AM49" i="1"/>
  <c r="AM54" i="1" s="1"/>
  <c r="AL49" i="1"/>
  <c r="AI49" i="1"/>
  <c r="AH49" i="1"/>
  <c r="AE49" i="1"/>
  <c r="AD49" i="1"/>
  <c r="AC49" i="1"/>
  <c r="AA49" i="1"/>
  <c r="AB49" i="1" s="1"/>
  <c r="Z49" i="1"/>
  <c r="W49" i="1"/>
  <c r="W54" i="1" s="1"/>
  <c r="V49" i="1"/>
  <c r="V54" i="1" s="1"/>
  <c r="S49" i="1"/>
  <c r="R49" i="1"/>
  <c r="Q49" i="1"/>
  <c r="O49" i="1"/>
  <c r="O54" i="1" s="1"/>
  <c r="N49" i="1"/>
  <c r="K49" i="1"/>
  <c r="J49" i="1"/>
  <c r="I49" i="1"/>
  <c r="H49" i="1"/>
  <c r="G49" i="1"/>
  <c r="G54" i="1" s="1"/>
  <c r="F49" i="1"/>
  <c r="F54" i="1" s="1"/>
  <c r="E49" i="1"/>
  <c r="C49" i="1"/>
  <c r="B49" i="1"/>
  <c r="AY48" i="1"/>
  <c r="AZ48" i="1" s="1"/>
  <c r="AX48" i="1"/>
  <c r="AW48" i="1"/>
  <c r="AV48" i="1"/>
  <c r="AS48" i="1"/>
  <c r="AR48" i="1"/>
  <c r="AO48" i="1"/>
  <c r="AN48" i="1"/>
  <c r="AK48" i="1"/>
  <c r="AJ48" i="1"/>
  <c r="AG48" i="1"/>
  <c r="AF48" i="1"/>
  <c r="AC48" i="1"/>
  <c r="AB48" i="1"/>
  <c r="Y48" i="1"/>
  <c r="X48" i="1"/>
  <c r="U48" i="1"/>
  <c r="T48" i="1"/>
  <c r="Q48" i="1"/>
  <c r="P48" i="1"/>
  <c r="M48" i="1"/>
  <c r="L48" i="1"/>
  <c r="I48" i="1"/>
  <c r="H48" i="1"/>
  <c r="E48" i="1"/>
  <c r="D48" i="1"/>
  <c r="AT47" i="1"/>
  <c r="AP47" i="1"/>
  <c r="AM47" i="1"/>
  <c r="AO47" i="1" s="1"/>
  <c r="AL47" i="1"/>
  <c r="F47" i="1"/>
  <c r="AU46" i="1"/>
  <c r="AV46" i="1" s="1"/>
  <c r="AQ46" i="1"/>
  <c r="AR46" i="1" s="1"/>
  <c r="AM46" i="1"/>
  <c r="AO46" i="1" s="1"/>
  <c r="AL46" i="1"/>
  <c r="AI46" i="1"/>
  <c r="AH46" i="1"/>
  <c r="AF46" i="1"/>
  <c r="AE46" i="1"/>
  <c r="AG46" i="1" s="1"/>
  <c r="AD46" i="1"/>
  <c r="AA46" i="1"/>
  <c r="Z46" i="1"/>
  <c r="AC46" i="1" s="1"/>
  <c r="W46" i="1"/>
  <c r="Y46" i="1" s="1"/>
  <c r="V46" i="1"/>
  <c r="S46" i="1"/>
  <c r="R46" i="1"/>
  <c r="U46" i="1" s="1"/>
  <c r="O46" i="1"/>
  <c r="N46" i="1"/>
  <c r="L46" i="1"/>
  <c r="K46" i="1"/>
  <c r="J46" i="1"/>
  <c r="M46" i="1" s="1"/>
  <c r="G46" i="1"/>
  <c r="I46" i="1" s="1"/>
  <c r="F46" i="1"/>
  <c r="E46" i="1"/>
  <c r="D46" i="1"/>
  <c r="C46" i="1"/>
  <c r="B46" i="1"/>
  <c r="AW45" i="1"/>
  <c r="AV45" i="1"/>
  <c r="AU45" i="1"/>
  <c r="AQ45" i="1"/>
  <c r="AR45" i="1" s="1"/>
  <c r="AM45" i="1"/>
  <c r="AO45" i="1" s="1"/>
  <c r="AL45" i="1"/>
  <c r="AN45" i="1" s="1"/>
  <c r="AI45" i="1"/>
  <c r="AH45" i="1"/>
  <c r="AE45" i="1"/>
  <c r="AG45" i="1" s="1"/>
  <c r="AD45" i="1"/>
  <c r="AA45" i="1"/>
  <c r="Z45" i="1"/>
  <c r="AC45" i="1" s="1"/>
  <c r="Y45" i="1"/>
  <c r="W45" i="1"/>
  <c r="V45" i="1"/>
  <c r="T45" i="1"/>
  <c r="S45" i="1"/>
  <c r="R45" i="1"/>
  <c r="U45" i="1" s="1"/>
  <c r="O45" i="1"/>
  <c r="AY45" i="1" s="1"/>
  <c r="N45" i="1"/>
  <c r="P45" i="1" s="1"/>
  <c r="L45" i="1"/>
  <c r="K45" i="1"/>
  <c r="J45" i="1"/>
  <c r="M45" i="1" s="1"/>
  <c r="G45" i="1"/>
  <c r="I45" i="1" s="1"/>
  <c r="F45" i="1"/>
  <c r="H45" i="1" s="1"/>
  <c r="C45" i="1"/>
  <c r="B45" i="1"/>
  <c r="AW44" i="1"/>
  <c r="AV44" i="1"/>
  <c r="AU44" i="1"/>
  <c r="AS44" i="1"/>
  <c r="AR44" i="1"/>
  <c r="AQ44" i="1"/>
  <c r="AO44" i="1"/>
  <c r="AN44" i="1"/>
  <c r="AM44" i="1"/>
  <c r="AI44" i="1"/>
  <c r="AK44" i="1" s="1"/>
  <c r="AH44" i="1"/>
  <c r="AF44" i="1"/>
  <c r="AE44" i="1"/>
  <c r="AG44" i="1" s="1"/>
  <c r="AC44" i="1"/>
  <c r="AB44" i="1"/>
  <c r="AA44" i="1"/>
  <c r="Y44" i="1"/>
  <c r="X44" i="1"/>
  <c r="W44" i="1"/>
  <c r="U44" i="1"/>
  <c r="T44" i="1"/>
  <c r="S44" i="1"/>
  <c r="O44" i="1"/>
  <c r="P44" i="1" s="1"/>
  <c r="K44" i="1"/>
  <c r="L44" i="1" s="1"/>
  <c r="G44" i="1"/>
  <c r="H44" i="1" s="1"/>
  <c r="C44" i="1"/>
  <c r="E44" i="1" s="1"/>
  <c r="B44" i="1"/>
  <c r="AV43" i="1"/>
  <c r="AU43" i="1"/>
  <c r="AQ43" i="1"/>
  <c r="AS43" i="1" s="1"/>
  <c r="AM43" i="1"/>
  <c r="AL43" i="1"/>
  <c r="AO43" i="1" s="1"/>
  <c r="AI43" i="1"/>
  <c r="AK43" i="1" s="1"/>
  <c r="AH43" i="1"/>
  <c r="AF43" i="1"/>
  <c r="AE43" i="1"/>
  <c r="AD43" i="1"/>
  <c r="AG43" i="1" s="1"/>
  <c r="AA43" i="1"/>
  <c r="AC43" i="1" s="1"/>
  <c r="Z43" i="1"/>
  <c r="AB43" i="1" s="1"/>
  <c r="X43" i="1"/>
  <c r="W43" i="1"/>
  <c r="V43" i="1"/>
  <c r="Y43" i="1" s="1"/>
  <c r="U43" i="1"/>
  <c r="S43" i="1"/>
  <c r="R43" i="1"/>
  <c r="T43" i="1" s="1"/>
  <c r="O43" i="1"/>
  <c r="N43" i="1"/>
  <c r="M43" i="1"/>
  <c r="K43" i="1"/>
  <c r="J43" i="1"/>
  <c r="L43" i="1" s="1"/>
  <c r="G43" i="1"/>
  <c r="F43" i="1"/>
  <c r="I43" i="1" s="1"/>
  <c r="C43" i="1"/>
  <c r="AW42" i="1"/>
  <c r="AV42" i="1"/>
  <c r="AU42" i="1"/>
  <c r="AQ42" i="1"/>
  <c r="AO42" i="1"/>
  <c r="AM42" i="1"/>
  <c r="AL42" i="1"/>
  <c r="AN42" i="1" s="1"/>
  <c r="AI42" i="1"/>
  <c r="AH42" i="1"/>
  <c r="AG42" i="1"/>
  <c r="AE42" i="1"/>
  <c r="AE47" i="1" s="1"/>
  <c r="AD42" i="1"/>
  <c r="AA42" i="1"/>
  <c r="Z42" i="1"/>
  <c r="W42" i="1"/>
  <c r="V42" i="1"/>
  <c r="S42" i="1"/>
  <c r="U42" i="1" s="1"/>
  <c r="R42" i="1"/>
  <c r="R47" i="1" s="1"/>
  <c r="Q42" i="1"/>
  <c r="O42" i="1"/>
  <c r="N42" i="1"/>
  <c r="P42" i="1" s="1"/>
  <c r="K42" i="1"/>
  <c r="J42" i="1"/>
  <c r="I42" i="1"/>
  <c r="G42" i="1"/>
  <c r="E42" i="1"/>
  <c r="C42" i="1"/>
  <c r="D42" i="1" s="1"/>
  <c r="AY41" i="1"/>
  <c r="AX41" i="1"/>
  <c r="AW41" i="1"/>
  <c r="AV41" i="1"/>
  <c r="AS41" i="1"/>
  <c r="AR41" i="1"/>
  <c r="AO41" i="1"/>
  <c r="AN41" i="1"/>
  <c r="AK41" i="1"/>
  <c r="AJ41" i="1"/>
  <c r="AG41" i="1"/>
  <c r="AF41" i="1"/>
  <c r="AC41" i="1"/>
  <c r="AB41" i="1"/>
  <c r="Y41" i="1"/>
  <c r="X41" i="1"/>
  <c r="U41" i="1"/>
  <c r="T41" i="1"/>
  <c r="Q41" i="1"/>
  <c r="P41" i="1"/>
  <c r="M41" i="1"/>
  <c r="L41" i="1"/>
  <c r="I41" i="1"/>
  <c r="H41" i="1"/>
  <c r="E41" i="1"/>
  <c r="D41" i="1"/>
  <c r="AT40" i="1"/>
  <c r="AP40" i="1"/>
  <c r="AH40" i="1"/>
  <c r="R40" i="1"/>
  <c r="F40" i="1"/>
  <c r="B40" i="1"/>
  <c r="AW39" i="1"/>
  <c r="AV39" i="1"/>
  <c r="AU39" i="1"/>
  <c r="AS39" i="1"/>
  <c r="AR39" i="1"/>
  <c r="AQ39" i="1"/>
  <c r="AO39" i="1"/>
  <c r="AM39" i="1"/>
  <c r="AN39" i="1" s="1"/>
  <c r="AI39" i="1"/>
  <c r="AJ39" i="1" s="1"/>
  <c r="AF39" i="1"/>
  <c r="AE39" i="1"/>
  <c r="AG39" i="1" s="1"/>
  <c r="AD39" i="1"/>
  <c r="AX39" i="1" s="1"/>
  <c r="AC39" i="1"/>
  <c r="AB39" i="1"/>
  <c r="AA39" i="1"/>
  <c r="X39" i="1"/>
  <c r="W39" i="1"/>
  <c r="Y39" i="1" s="1"/>
  <c r="U39" i="1"/>
  <c r="S39" i="1"/>
  <c r="T39" i="1" s="1"/>
  <c r="Q39" i="1"/>
  <c r="O39" i="1"/>
  <c r="P39" i="1" s="1"/>
  <c r="K39" i="1"/>
  <c r="G39" i="1"/>
  <c r="I39" i="1" s="1"/>
  <c r="D39" i="1"/>
  <c r="C39" i="1"/>
  <c r="E39" i="1" s="1"/>
  <c r="AX38" i="1"/>
  <c r="AU38" i="1"/>
  <c r="AV38" i="1" s="1"/>
  <c r="AS38" i="1"/>
  <c r="AR38" i="1"/>
  <c r="AQ38" i="1"/>
  <c r="AM38" i="1"/>
  <c r="AO38" i="1" s="1"/>
  <c r="AI38" i="1"/>
  <c r="AG38" i="1"/>
  <c r="AF38" i="1"/>
  <c r="AE38" i="1"/>
  <c r="AC38" i="1"/>
  <c r="AB38" i="1"/>
  <c r="AA38" i="1"/>
  <c r="W38" i="1"/>
  <c r="Y38" i="1" s="1"/>
  <c r="U38" i="1"/>
  <c r="S38" i="1"/>
  <c r="T38" i="1" s="1"/>
  <c r="Q38" i="1"/>
  <c r="O38" i="1"/>
  <c r="P38" i="1" s="1"/>
  <c r="K38" i="1"/>
  <c r="H38" i="1"/>
  <c r="G38" i="1"/>
  <c r="I38" i="1" s="1"/>
  <c r="D38" i="1"/>
  <c r="C38" i="1"/>
  <c r="AU37" i="1"/>
  <c r="AS37" i="1"/>
  <c r="AR37" i="1"/>
  <c r="AQ37" i="1"/>
  <c r="AM37" i="1"/>
  <c r="AL37" i="1"/>
  <c r="AK37" i="1"/>
  <c r="AJ37" i="1"/>
  <c r="AI37" i="1"/>
  <c r="AE37" i="1"/>
  <c r="AG37" i="1" s="1"/>
  <c r="AA37" i="1"/>
  <c r="Y37" i="1"/>
  <c r="X37" i="1"/>
  <c r="W37" i="1"/>
  <c r="U37" i="1"/>
  <c r="T37" i="1"/>
  <c r="S37" i="1"/>
  <c r="O37" i="1"/>
  <c r="Q37" i="1" s="1"/>
  <c r="M37" i="1"/>
  <c r="K37" i="1"/>
  <c r="L37" i="1" s="1"/>
  <c r="I37" i="1"/>
  <c r="G37" i="1"/>
  <c r="H37" i="1" s="1"/>
  <c r="C37" i="1"/>
  <c r="AW36" i="1"/>
  <c r="AV36" i="1"/>
  <c r="AU36" i="1"/>
  <c r="AQ36" i="1"/>
  <c r="AR36" i="1" s="1"/>
  <c r="AM36" i="1"/>
  <c r="AO36" i="1" s="1"/>
  <c r="AL36" i="1"/>
  <c r="AK36" i="1"/>
  <c r="AJ36" i="1"/>
  <c r="AI36" i="1"/>
  <c r="AG36" i="1"/>
  <c r="AF36" i="1"/>
  <c r="AE36" i="1"/>
  <c r="AC36" i="1"/>
  <c r="AB36" i="1"/>
  <c r="AA36" i="1"/>
  <c r="Z36" i="1"/>
  <c r="Z40" i="1" s="1"/>
  <c r="W36" i="1"/>
  <c r="Y36" i="1" s="1"/>
  <c r="S36" i="1"/>
  <c r="Q36" i="1"/>
  <c r="P36" i="1"/>
  <c r="O36" i="1"/>
  <c r="M36" i="1"/>
  <c r="L36" i="1"/>
  <c r="K36" i="1"/>
  <c r="G36" i="1"/>
  <c r="I36" i="1" s="1"/>
  <c r="E36" i="1"/>
  <c r="C36" i="1"/>
  <c r="D36" i="1" s="1"/>
  <c r="AW35" i="1"/>
  <c r="AV35" i="1"/>
  <c r="AU35" i="1"/>
  <c r="AS35" i="1"/>
  <c r="AR35" i="1"/>
  <c r="AQ35" i="1"/>
  <c r="AM35" i="1"/>
  <c r="AO35" i="1" s="1"/>
  <c r="AL35" i="1"/>
  <c r="AJ35" i="1"/>
  <c r="AI35" i="1"/>
  <c r="AH35" i="1"/>
  <c r="AE35" i="1"/>
  <c r="AE40" i="1" s="1"/>
  <c r="AG40" i="1" s="1"/>
  <c r="AD35" i="1"/>
  <c r="AD40" i="1" s="1"/>
  <c r="AB35" i="1"/>
  <c r="AA35" i="1"/>
  <c r="Z35" i="1"/>
  <c r="Y35" i="1"/>
  <c r="X35" i="1"/>
  <c r="W35" i="1"/>
  <c r="V35" i="1"/>
  <c r="V40" i="1" s="1"/>
  <c r="S35" i="1"/>
  <c r="P35" i="1"/>
  <c r="O35" i="1"/>
  <c r="Q35" i="1" s="1"/>
  <c r="N35" i="1"/>
  <c r="N40" i="1" s="1"/>
  <c r="M35" i="1"/>
  <c r="K35" i="1"/>
  <c r="J35" i="1"/>
  <c r="L35" i="1" s="1"/>
  <c r="G35" i="1"/>
  <c r="E35" i="1"/>
  <c r="D35" i="1"/>
  <c r="C35" i="1"/>
  <c r="B35" i="1"/>
  <c r="AX35" i="1" s="1"/>
  <c r="AY34" i="1"/>
  <c r="BA34" i="1" s="1"/>
  <c r="AX34" i="1"/>
  <c r="AZ34" i="1" s="1"/>
  <c r="AW34" i="1"/>
  <c r="AV34" i="1"/>
  <c r="AS34" i="1"/>
  <c r="AR34" i="1"/>
  <c r="AO34" i="1"/>
  <c r="AN34" i="1"/>
  <c r="AK34" i="1"/>
  <c r="AJ34" i="1"/>
  <c r="AG34" i="1"/>
  <c r="AF34" i="1"/>
  <c r="AC34" i="1"/>
  <c r="AB34" i="1"/>
  <c r="Y34" i="1"/>
  <c r="X34" i="1"/>
  <c r="U34" i="1"/>
  <c r="T34" i="1"/>
  <c r="Q34" i="1"/>
  <c r="P34" i="1"/>
  <c r="M34" i="1"/>
  <c r="L34" i="1"/>
  <c r="I34" i="1"/>
  <c r="H34" i="1"/>
  <c r="E34" i="1"/>
  <c r="D34" i="1"/>
  <c r="AT33" i="1"/>
  <c r="AP33" i="1"/>
  <c r="AM33" i="1"/>
  <c r="AE33" i="1"/>
  <c r="AD33" i="1"/>
  <c r="AF33" i="1" s="1"/>
  <c r="Z33" i="1"/>
  <c r="V33" i="1"/>
  <c r="H33" i="1"/>
  <c r="F33" i="1"/>
  <c r="B33" i="1"/>
  <c r="AX32" i="1"/>
  <c r="AU32" i="1"/>
  <c r="AW32" i="1" s="1"/>
  <c r="AS32" i="1"/>
  <c r="AR32" i="1"/>
  <c r="AQ32" i="1"/>
  <c r="AO32" i="1"/>
  <c r="AN32" i="1"/>
  <c r="AM32" i="1"/>
  <c r="AI32" i="1"/>
  <c r="AG32" i="1"/>
  <c r="AF32" i="1"/>
  <c r="AE32" i="1"/>
  <c r="AC32" i="1"/>
  <c r="AA32" i="1"/>
  <c r="AB32" i="1" s="1"/>
  <c r="X32" i="1"/>
  <c r="W32" i="1"/>
  <c r="Y32" i="1" s="1"/>
  <c r="U32" i="1"/>
  <c r="T32" i="1"/>
  <c r="S32" i="1"/>
  <c r="O32" i="1"/>
  <c r="Q32" i="1" s="1"/>
  <c r="L32" i="1"/>
  <c r="K32" i="1"/>
  <c r="M32" i="1" s="1"/>
  <c r="I32" i="1"/>
  <c r="H32" i="1"/>
  <c r="G32" i="1"/>
  <c r="C32" i="1"/>
  <c r="AU31" i="1"/>
  <c r="AU33" i="1" s="1"/>
  <c r="AS31" i="1"/>
  <c r="AQ31" i="1"/>
  <c r="AQ33" i="1" s="1"/>
  <c r="AS33" i="1" s="1"/>
  <c r="AO31" i="1"/>
  <c r="AN31" i="1"/>
  <c r="AM31" i="1"/>
  <c r="AL31" i="1"/>
  <c r="AL33" i="1" s="1"/>
  <c r="AJ31" i="1"/>
  <c r="AI31" i="1"/>
  <c r="AH31" i="1"/>
  <c r="AH33" i="1" s="1"/>
  <c r="AG31" i="1"/>
  <c r="AF31" i="1"/>
  <c r="AE31" i="1"/>
  <c r="AD31" i="1"/>
  <c r="AA31" i="1"/>
  <c r="Y31" i="1"/>
  <c r="X31" i="1"/>
  <c r="W31" i="1"/>
  <c r="W33" i="1" s="1"/>
  <c r="Y33" i="1" s="1"/>
  <c r="V31" i="1"/>
  <c r="S31" i="1"/>
  <c r="R31" i="1"/>
  <c r="T31" i="1" s="1"/>
  <c r="Q31" i="1"/>
  <c r="P31" i="1"/>
  <c r="O31" i="1"/>
  <c r="O33" i="1" s="1"/>
  <c r="Q33" i="1" s="1"/>
  <c r="N31" i="1"/>
  <c r="N33" i="1" s="1"/>
  <c r="K31" i="1"/>
  <c r="J31" i="1"/>
  <c r="I31" i="1"/>
  <c r="H31" i="1"/>
  <c r="G31" i="1"/>
  <c r="G33" i="1" s="1"/>
  <c r="I33" i="1" s="1"/>
  <c r="F31" i="1"/>
  <c r="C31" i="1"/>
  <c r="B31" i="1"/>
  <c r="AT30" i="1"/>
  <c r="AL30" i="1"/>
  <c r="V30" i="1"/>
  <c r="O30" i="1"/>
  <c r="G30" i="1"/>
  <c r="AY29" i="1"/>
  <c r="AW29" i="1"/>
  <c r="AV29" i="1"/>
  <c r="AU29" i="1"/>
  <c r="AQ29" i="1"/>
  <c r="AS29" i="1" s="1"/>
  <c r="AR29" i="1"/>
  <c r="AO29" i="1"/>
  <c r="AN29" i="1"/>
  <c r="AM29" i="1"/>
  <c r="AL29" i="1"/>
  <c r="AI29" i="1"/>
  <c r="AK29" i="1" s="1"/>
  <c r="AH29" i="1"/>
  <c r="AJ29" i="1" s="1"/>
  <c r="AG29" i="1"/>
  <c r="AF29" i="1"/>
  <c r="AE29" i="1"/>
  <c r="AD29" i="1"/>
  <c r="AA29" i="1"/>
  <c r="Z29" i="1"/>
  <c r="AB29" i="1" s="1"/>
  <c r="Y29" i="1"/>
  <c r="X29" i="1"/>
  <c r="W29" i="1"/>
  <c r="V29" i="1"/>
  <c r="S29" i="1"/>
  <c r="R29" i="1"/>
  <c r="T29" i="1" s="1"/>
  <c r="Q29" i="1"/>
  <c r="P29" i="1"/>
  <c r="O29" i="1"/>
  <c r="N29" i="1"/>
  <c r="K29" i="1"/>
  <c r="M29" i="1" s="1"/>
  <c r="J29" i="1"/>
  <c r="L29" i="1" s="1"/>
  <c r="I29" i="1"/>
  <c r="H29" i="1"/>
  <c r="G29" i="1"/>
  <c r="F29" i="1"/>
  <c r="C29" i="1"/>
  <c r="E29" i="1" s="1"/>
  <c r="B29" i="1"/>
  <c r="D29" i="1" s="1"/>
  <c r="AU28" i="1"/>
  <c r="AW28" i="1" s="1"/>
  <c r="AS28" i="1"/>
  <c r="AQ28" i="1"/>
  <c r="AR28" i="1" s="1"/>
  <c r="AM28" i="1"/>
  <c r="AL28" i="1"/>
  <c r="AO28" i="1" s="1"/>
  <c r="AI28" i="1"/>
  <c r="AK28" i="1" s="1"/>
  <c r="AH28" i="1"/>
  <c r="AE28" i="1"/>
  <c r="AD28" i="1"/>
  <c r="AG28" i="1" s="1"/>
  <c r="AC28" i="1"/>
  <c r="AB28" i="1"/>
  <c r="AA28" i="1"/>
  <c r="Z28" i="1"/>
  <c r="W28" i="1"/>
  <c r="V28" i="1"/>
  <c r="Y28" i="1" s="1"/>
  <c r="U28" i="1"/>
  <c r="T28" i="1"/>
  <c r="S28" i="1"/>
  <c r="R28" i="1"/>
  <c r="O28" i="1"/>
  <c r="N28" i="1"/>
  <c r="Q28" i="1" s="1"/>
  <c r="M28" i="1"/>
  <c r="K28" i="1"/>
  <c r="L28" i="1" s="1"/>
  <c r="J28" i="1"/>
  <c r="G28" i="1"/>
  <c r="F28" i="1"/>
  <c r="I28" i="1" s="1"/>
  <c r="C28" i="1"/>
  <c r="AY28" i="1" s="1"/>
  <c r="B28" i="1"/>
  <c r="AX28" i="1" s="1"/>
  <c r="AZ28" i="1" s="1"/>
  <c r="AW27" i="1"/>
  <c r="AV27" i="1"/>
  <c r="AU27" i="1"/>
  <c r="AU30" i="1" s="1"/>
  <c r="AW30" i="1" s="1"/>
  <c r="AS27" i="1"/>
  <c r="AR27" i="1"/>
  <c r="AQ27" i="1"/>
  <c r="AP30" i="1"/>
  <c r="AM27" i="1"/>
  <c r="AO27" i="1" s="1"/>
  <c r="AL27" i="1"/>
  <c r="AN27" i="1" s="1"/>
  <c r="AK27" i="1"/>
  <c r="AJ27" i="1"/>
  <c r="AI27" i="1"/>
  <c r="AH27" i="1"/>
  <c r="AH30" i="1" s="1"/>
  <c r="AF27" i="1"/>
  <c r="AE27" i="1"/>
  <c r="AD27" i="1"/>
  <c r="AD30" i="1" s="1"/>
  <c r="AC27" i="1"/>
  <c r="AB27" i="1"/>
  <c r="AA27" i="1"/>
  <c r="Z27" i="1"/>
  <c r="W27" i="1"/>
  <c r="Y27" i="1" s="1"/>
  <c r="V27" i="1"/>
  <c r="U27" i="1"/>
  <c r="T27" i="1"/>
  <c r="S27" i="1"/>
  <c r="R27" i="1"/>
  <c r="O27" i="1"/>
  <c r="N27" i="1"/>
  <c r="N30" i="1" s="1"/>
  <c r="P30" i="1" s="1"/>
  <c r="M27" i="1"/>
  <c r="L27" i="1"/>
  <c r="K27" i="1"/>
  <c r="J27" i="1"/>
  <c r="J30" i="1" s="1"/>
  <c r="G27" i="1"/>
  <c r="F27" i="1"/>
  <c r="E27" i="1"/>
  <c r="D27" i="1"/>
  <c r="C27" i="1"/>
  <c r="AY27" i="1" s="1"/>
  <c r="B27" i="1"/>
  <c r="AW26" i="1"/>
  <c r="AV26" i="1"/>
  <c r="AU26" i="1"/>
  <c r="AQ26" i="1"/>
  <c r="AO26" i="1"/>
  <c r="AN26" i="1"/>
  <c r="AM26" i="1"/>
  <c r="AL26" i="1"/>
  <c r="AI26" i="1"/>
  <c r="AE26" i="1"/>
  <c r="AE30" i="1" s="1"/>
  <c r="AG30" i="1" s="1"/>
  <c r="AC26" i="1"/>
  <c r="AB26" i="1"/>
  <c r="AA26" i="1"/>
  <c r="AA30" i="1" s="1"/>
  <c r="Z26" i="1"/>
  <c r="W26" i="1"/>
  <c r="Y26" i="1" s="1"/>
  <c r="U26" i="1"/>
  <c r="S26" i="1"/>
  <c r="T26" i="1" s="1"/>
  <c r="O26" i="1"/>
  <c r="Q26" i="1" s="1"/>
  <c r="N26" i="1"/>
  <c r="P26" i="1" s="1"/>
  <c r="M26" i="1"/>
  <c r="L26" i="1"/>
  <c r="K26" i="1"/>
  <c r="I26" i="1"/>
  <c r="G26" i="1"/>
  <c r="H26" i="1" s="1"/>
  <c r="D26" i="1"/>
  <c r="C26" i="1"/>
  <c r="AY26" i="1" s="1"/>
  <c r="B26" i="1"/>
  <c r="B30" i="1" s="1"/>
  <c r="BA25" i="1"/>
  <c r="AZ25" i="1"/>
  <c r="AY25" i="1"/>
  <c r="AX25" i="1"/>
  <c r="AW25" i="1"/>
  <c r="AV25" i="1"/>
  <c r="AS25" i="1"/>
  <c r="AR25" i="1"/>
  <c r="AO25" i="1"/>
  <c r="AN25" i="1"/>
  <c r="AK25" i="1"/>
  <c r="AJ25" i="1"/>
  <c r="AG25" i="1"/>
  <c r="AF25" i="1"/>
  <c r="AC25" i="1"/>
  <c r="AB25" i="1"/>
  <c r="Y25" i="1"/>
  <c r="X25" i="1"/>
  <c r="U25" i="1"/>
  <c r="T25" i="1"/>
  <c r="Q25" i="1"/>
  <c r="P25" i="1"/>
  <c r="M25" i="1"/>
  <c r="L25" i="1"/>
  <c r="I25" i="1"/>
  <c r="H25" i="1"/>
  <c r="E25" i="1"/>
  <c r="D25" i="1"/>
  <c r="AT24" i="1"/>
  <c r="AH24" i="1"/>
  <c r="S24" i="1"/>
  <c r="R24" i="1"/>
  <c r="T24" i="1" s="1"/>
  <c r="K24" i="1"/>
  <c r="AU23" i="1"/>
  <c r="AW23" i="1" s="1"/>
  <c r="AS23" i="1"/>
  <c r="AQ23" i="1"/>
  <c r="AR23" i="1" s="1"/>
  <c r="AM23" i="1"/>
  <c r="AO23" i="1" s="1"/>
  <c r="AK23" i="1"/>
  <c r="AJ23" i="1"/>
  <c r="AI23" i="1"/>
  <c r="AE23" i="1"/>
  <c r="AG23" i="1" s="1"/>
  <c r="AD23" i="1"/>
  <c r="AF23" i="1" s="1"/>
  <c r="AA23" i="1"/>
  <c r="AC23" i="1" s="1"/>
  <c r="Y23" i="1"/>
  <c r="W23" i="1"/>
  <c r="X23" i="1" s="1"/>
  <c r="S23" i="1"/>
  <c r="U23" i="1" s="1"/>
  <c r="R23" i="1"/>
  <c r="Q23" i="1"/>
  <c r="P23" i="1"/>
  <c r="O23" i="1"/>
  <c r="K23" i="1"/>
  <c r="M23" i="1" s="1"/>
  <c r="G23" i="1"/>
  <c r="I23" i="1" s="1"/>
  <c r="E23" i="1"/>
  <c r="D23" i="1"/>
  <c r="C23" i="1"/>
  <c r="AW22" i="1"/>
  <c r="AV22" i="1"/>
  <c r="AU22" i="1"/>
  <c r="AQ22" i="1"/>
  <c r="AS22" i="1" s="1"/>
  <c r="AM22" i="1"/>
  <c r="AL22" i="1"/>
  <c r="AO22" i="1" s="1"/>
  <c r="AI22" i="1"/>
  <c r="AK22" i="1" s="1"/>
  <c r="AH22" i="1"/>
  <c r="AJ22" i="1" s="1"/>
  <c r="AE22" i="1"/>
  <c r="AG22" i="1" s="1"/>
  <c r="AD22" i="1"/>
  <c r="AF22" i="1" s="1"/>
  <c r="AA22" i="1"/>
  <c r="AC22" i="1" s="1"/>
  <c r="Z22" i="1"/>
  <c r="AB22" i="1" s="1"/>
  <c r="Y22" i="1"/>
  <c r="W22" i="1"/>
  <c r="X22" i="1" s="1"/>
  <c r="V22" i="1"/>
  <c r="S22" i="1"/>
  <c r="U22" i="1" s="1"/>
  <c r="R22" i="1"/>
  <c r="T22" i="1" s="1"/>
  <c r="P22" i="1"/>
  <c r="O22" i="1"/>
  <c r="Q22" i="1" s="1"/>
  <c r="N22" i="1"/>
  <c r="K22" i="1"/>
  <c r="M22" i="1" s="1"/>
  <c r="J22" i="1"/>
  <c r="L22" i="1" s="1"/>
  <c r="G22" i="1"/>
  <c r="AY22" i="1" s="1"/>
  <c r="F22" i="1"/>
  <c r="H22" i="1" s="1"/>
  <c r="C22" i="1"/>
  <c r="E22" i="1" s="1"/>
  <c r="B22" i="1"/>
  <c r="D22" i="1" s="1"/>
  <c r="AX21" i="1"/>
  <c r="AU21" i="1"/>
  <c r="AW21" i="1" s="1"/>
  <c r="AR21" i="1"/>
  <c r="AQ21" i="1"/>
  <c r="AS21" i="1" s="1"/>
  <c r="AO21" i="1"/>
  <c r="AN21" i="1"/>
  <c r="AM21" i="1"/>
  <c r="AI21" i="1"/>
  <c r="AK21" i="1" s="1"/>
  <c r="AE21" i="1"/>
  <c r="AG21" i="1" s="1"/>
  <c r="AC21" i="1"/>
  <c r="AB21" i="1"/>
  <c r="AA21" i="1"/>
  <c r="W21" i="1"/>
  <c r="U21" i="1"/>
  <c r="T21" i="1"/>
  <c r="S21" i="1"/>
  <c r="Q21" i="1"/>
  <c r="P21" i="1"/>
  <c r="O21" i="1"/>
  <c r="L21" i="1"/>
  <c r="K21" i="1"/>
  <c r="M21" i="1" s="1"/>
  <c r="I21" i="1"/>
  <c r="H21" i="1"/>
  <c r="G21" i="1"/>
  <c r="E21" i="1"/>
  <c r="D21" i="1"/>
  <c r="C21" i="1"/>
  <c r="C24" i="1" s="1"/>
  <c r="AX20" i="1"/>
  <c r="AV20" i="1"/>
  <c r="AU20" i="1"/>
  <c r="AW20" i="1" s="1"/>
  <c r="AQ20" i="1"/>
  <c r="AQ24" i="1" s="1"/>
  <c r="AS20" i="1"/>
  <c r="AM20" i="1"/>
  <c r="AM24" i="1" s="1"/>
  <c r="AL20" i="1"/>
  <c r="AN20" i="1" s="1"/>
  <c r="AI20" i="1"/>
  <c r="AI24" i="1" s="1"/>
  <c r="AH20" i="1"/>
  <c r="AK20" i="1" s="1"/>
  <c r="AE20" i="1"/>
  <c r="AE24" i="1" s="1"/>
  <c r="AD20" i="1"/>
  <c r="AF20" i="1" s="1"/>
  <c r="AA20" i="1"/>
  <c r="Z20" i="1"/>
  <c r="AC20" i="1" s="1"/>
  <c r="W20" i="1"/>
  <c r="W24" i="1" s="1"/>
  <c r="V20" i="1"/>
  <c r="V24" i="1" s="1"/>
  <c r="S20" i="1"/>
  <c r="R20" i="1"/>
  <c r="U20" i="1" s="1"/>
  <c r="O20" i="1"/>
  <c r="O24" i="1" s="1"/>
  <c r="N20" i="1"/>
  <c r="N24" i="1" s="1"/>
  <c r="K20" i="1"/>
  <c r="J20" i="1"/>
  <c r="J24" i="1" s="1"/>
  <c r="G20" i="1"/>
  <c r="G24" i="1" s="1"/>
  <c r="F20" i="1"/>
  <c r="H20" i="1" s="1"/>
  <c r="C20" i="1"/>
  <c r="B20" i="1"/>
  <c r="E20" i="1" s="1"/>
  <c r="AT17" i="1"/>
  <c r="AT18" i="1" s="1"/>
  <c r="AM17" i="1"/>
  <c r="AE17" i="1"/>
  <c r="AE18" i="1" s="1"/>
  <c r="W17" i="1"/>
  <c r="O17" i="1"/>
  <c r="G17" i="1"/>
  <c r="AX15" i="1"/>
  <c r="AW15" i="1"/>
  <c r="AV15" i="1"/>
  <c r="AU15" i="1"/>
  <c r="AQ15" i="1"/>
  <c r="AS15" i="1" s="1"/>
  <c r="AN15" i="1"/>
  <c r="AM15" i="1"/>
  <c r="AO15" i="1" s="1"/>
  <c r="AL15" i="1"/>
  <c r="AI15" i="1"/>
  <c r="AK15" i="1" s="1"/>
  <c r="AH15" i="1"/>
  <c r="AJ15" i="1" s="1"/>
  <c r="AF15" i="1"/>
  <c r="AE15" i="1"/>
  <c r="AG15" i="1" s="1"/>
  <c r="AC15" i="1"/>
  <c r="AB15" i="1"/>
  <c r="AA15" i="1"/>
  <c r="W15" i="1"/>
  <c r="V15" i="1"/>
  <c r="X15" i="1" s="1"/>
  <c r="U15" i="1"/>
  <c r="T15" i="1"/>
  <c r="S15" i="1"/>
  <c r="O15" i="1"/>
  <c r="Q15" i="1" s="1"/>
  <c r="L15" i="1"/>
  <c r="K15" i="1"/>
  <c r="M15" i="1" s="1"/>
  <c r="J15" i="1"/>
  <c r="G15" i="1"/>
  <c r="I15" i="1" s="1"/>
  <c r="C15" i="1"/>
  <c r="E15" i="1" s="1"/>
  <c r="AW14" i="1"/>
  <c r="AV14" i="1"/>
  <c r="AU14" i="1"/>
  <c r="AS14" i="1"/>
  <c r="AR14" i="1"/>
  <c r="AQ14" i="1"/>
  <c r="AM14" i="1"/>
  <c r="AO14" i="1" s="1"/>
  <c r="AL14" i="1"/>
  <c r="AN14" i="1" s="1"/>
  <c r="AJ14" i="1"/>
  <c r="AI14" i="1"/>
  <c r="AK14" i="1" s="1"/>
  <c r="AH14" i="1"/>
  <c r="AE14" i="1"/>
  <c r="AG14" i="1" s="1"/>
  <c r="AD14" i="1"/>
  <c r="AF14" i="1" s="1"/>
  <c r="AB14" i="1"/>
  <c r="AA14" i="1"/>
  <c r="AC14" i="1" s="1"/>
  <c r="Z14" i="1"/>
  <c r="W14" i="1"/>
  <c r="Y14" i="1" s="1"/>
  <c r="V14" i="1"/>
  <c r="X14" i="1" s="1"/>
  <c r="T14" i="1"/>
  <c r="S14" i="1"/>
  <c r="U14" i="1" s="1"/>
  <c r="R14" i="1"/>
  <c r="O14" i="1"/>
  <c r="Q14" i="1" s="1"/>
  <c r="N14" i="1"/>
  <c r="P14" i="1" s="1"/>
  <c r="L14" i="1"/>
  <c r="K14" i="1"/>
  <c r="M14" i="1" s="1"/>
  <c r="J14" i="1"/>
  <c r="G14" i="1"/>
  <c r="I14" i="1" s="1"/>
  <c r="F14" i="1"/>
  <c r="H14" i="1" s="1"/>
  <c r="D14" i="1"/>
  <c r="C14" i="1"/>
  <c r="AY14" i="1" s="1"/>
  <c r="BA14" i="1" s="1"/>
  <c r="B14" i="1"/>
  <c r="AX14" i="1" s="1"/>
  <c r="AV13" i="1"/>
  <c r="AU13" i="1"/>
  <c r="AW13" i="1" s="1"/>
  <c r="AS13" i="1"/>
  <c r="AR13" i="1"/>
  <c r="AQ13" i="1"/>
  <c r="AM13" i="1"/>
  <c r="AL13" i="1"/>
  <c r="AN13" i="1" s="1"/>
  <c r="AK13" i="1"/>
  <c r="AJ13" i="1"/>
  <c r="AI13" i="1"/>
  <c r="AE13" i="1"/>
  <c r="AG13" i="1" s="1"/>
  <c r="AD13" i="1"/>
  <c r="AC13" i="1"/>
  <c r="AA13" i="1"/>
  <c r="AB13" i="1" s="1"/>
  <c r="Z13" i="1"/>
  <c r="W13" i="1"/>
  <c r="Y13" i="1" s="1"/>
  <c r="T13" i="1"/>
  <c r="S13" i="1"/>
  <c r="U13" i="1" s="1"/>
  <c r="O13" i="1"/>
  <c r="N13" i="1"/>
  <c r="Q13" i="1" s="1"/>
  <c r="K13" i="1"/>
  <c r="M13" i="1" s="1"/>
  <c r="J13" i="1"/>
  <c r="L13" i="1" s="1"/>
  <c r="G13" i="1"/>
  <c r="I13" i="1"/>
  <c r="C13" i="1"/>
  <c r="E13" i="1" s="1"/>
  <c r="D13" i="1"/>
  <c r="BA12" i="1"/>
  <c r="AY12" i="1"/>
  <c r="AW12" i="1"/>
  <c r="AV12" i="1"/>
  <c r="AS12" i="1"/>
  <c r="AR12" i="1"/>
  <c r="AO12" i="1"/>
  <c r="AN12" i="1"/>
  <c r="AL12" i="1"/>
  <c r="AK12" i="1"/>
  <c r="AJ12" i="1"/>
  <c r="AH12" i="1"/>
  <c r="AG12" i="1"/>
  <c r="AD12" i="1"/>
  <c r="AF12" i="1" s="1"/>
  <c r="AC12" i="1"/>
  <c r="Z12" i="1"/>
  <c r="AB12" i="1" s="1"/>
  <c r="Y12" i="1"/>
  <c r="V12" i="1"/>
  <c r="X12" i="1" s="1"/>
  <c r="U12" i="1"/>
  <c r="T12" i="1"/>
  <c r="R12" i="1"/>
  <c r="Q12" i="1"/>
  <c r="N12" i="1"/>
  <c r="AX12" i="1" s="1"/>
  <c r="AZ12" i="1" s="1"/>
  <c r="M12" i="1"/>
  <c r="L12" i="1"/>
  <c r="J12" i="1"/>
  <c r="I12" i="1"/>
  <c r="H12" i="1"/>
  <c r="F12" i="1"/>
  <c r="E12" i="1"/>
  <c r="D12" i="1"/>
  <c r="B12" i="1"/>
  <c r="AU11" i="1"/>
  <c r="AW11" i="1" s="1"/>
  <c r="AR11" i="1"/>
  <c r="AQ11" i="1"/>
  <c r="AS11" i="1" s="1"/>
  <c r="AM11" i="1"/>
  <c r="AL11" i="1"/>
  <c r="AO11" i="1" s="1"/>
  <c r="AI11" i="1"/>
  <c r="AK11" i="1" s="1"/>
  <c r="AH11" i="1"/>
  <c r="AJ11" i="1" s="1"/>
  <c r="AE11" i="1"/>
  <c r="AD11" i="1"/>
  <c r="AG11" i="1" s="1"/>
  <c r="AA11" i="1"/>
  <c r="AC11" i="1" s="1"/>
  <c r="Z11" i="1"/>
  <c r="AB11" i="1" s="1"/>
  <c r="W11" i="1"/>
  <c r="V11" i="1"/>
  <c r="Y11" i="1" s="1"/>
  <c r="S11" i="1"/>
  <c r="U11" i="1" s="1"/>
  <c r="R11" i="1"/>
  <c r="T11" i="1" s="1"/>
  <c r="O11" i="1"/>
  <c r="N11" i="1"/>
  <c r="Q11" i="1" s="1"/>
  <c r="K11" i="1"/>
  <c r="M11" i="1" s="1"/>
  <c r="J11" i="1"/>
  <c r="L11" i="1" s="1"/>
  <c r="G11" i="1"/>
  <c r="F11" i="1"/>
  <c r="I11" i="1" s="1"/>
  <c r="C11" i="1"/>
  <c r="AY11" i="1" s="1"/>
  <c r="B11" i="1"/>
  <c r="AX11" i="1" s="1"/>
  <c r="AZ11" i="1" s="1"/>
  <c r="AU10" i="1"/>
  <c r="AW10" i="1" s="1"/>
  <c r="AS10" i="1"/>
  <c r="AR10" i="1"/>
  <c r="AQ10" i="1"/>
  <c r="AM10" i="1"/>
  <c r="AL10" i="1"/>
  <c r="AN10" i="1" s="1"/>
  <c r="AK10" i="1"/>
  <c r="AJ10" i="1"/>
  <c r="AI10" i="1"/>
  <c r="AH10" i="1"/>
  <c r="AE10" i="1"/>
  <c r="AD10" i="1"/>
  <c r="AG10" i="1" s="1"/>
  <c r="AC10" i="1"/>
  <c r="AB10" i="1"/>
  <c r="AA10" i="1"/>
  <c r="Z10" i="1"/>
  <c r="W10" i="1"/>
  <c r="V10" i="1"/>
  <c r="X10" i="1" s="1"/>
  <c r="U10" i="1"/>
  <c r="T10" i="1"/>
  <c r="S10" i="1"/>
  <c r="R10" i="1"/>
  <c r="O10" i="1"/>
  <c r="N10" i="1"/>
  <c r="P10" i="1" s="1"/>
  <c r="M10" i="1"/>
  <c r="L10" i="1"/>
  <c r="K10" i="1"/>
  <c r="J10" i="1"/>
  <c r="G10" i="1"/>
  <c r="F10" i="1"/>
  <c r="I10" i="1" s="1"/>
  <c r="E10" i="1"/>
  <c r="D10" i="1"/>
  <c r="C10" i="1"/>
  <c r="AY10" i="1" s="1"/>
  <c r="B10" i="1"/>
  <c r="AX9" i="1"/>
  <c r="AW9" i="1"/>
  <c r="AV9" i="1"/>
  <c r="AU9" i="1"/>
  <c r="AQ9" i="1"/>
  <c r="AS9" i="1" s="1"/>
  <c r="AO9" i="1"/>
  <c r="AM9" i="1"/>
  <c r="AN9" i="1" s="1"/>
  <c r="AL9" i="1"/>
  <c r="AI9" i="1"/>
  <c r="AJ9" i="1" s="1"/>
  <c r="AH9" i="1"/>
  <c r="AG9" i="1"/>
  <c r="AE9" i="1"/>
  <c r="AF9" i="1" s="1"/>
  <c r="AD9" i="1"/>
  <c r="AA9" i="1"/>
  <c r="AC9" i="1" s="1"/>
  <c r="Z9" i="1"/>
  <c r="Y9" i="1"/>
  <c r="W9" i="1"/>
  <c r="X9" i="1" s="1"/>
  <c r="V9" i="1"/>
  <c r="S9" i="1"/>
  <c r="T9" i="1" s="1"/>
  <c r="R9" i="1"/>
  <c r="Q9" i="1"/>
  <c r="O9" i="1"/>
  <c r="P9" i="1" s="1"/>
  <c r="N9" i="1"/>
  <c r="K9" i="1"/>
  <c r="L9" i="1" s="1"/>
  <c r="I9" i="1"/>
  <c r="G9" i="1"/>
  <c r="H9" i="1" s="1"/>
  <c r="F9" i="1"/>
  <c r="C9" i="1"/>
  <c r="E9" i="1" s="1"/>
  <c r="B9" i="1"/>
  <c r="AU8" i="1"/>
  <c r="AW8" i="1" s="1"/>
  <c r="AR8" i="1"/>
  <c r="AQ8" i="1"/>
  <c r="AQ17" i="1" s="1"/>
  <c r="AP17" i="1"/>
  <c r="AM8" i="1"/>
  <c r="AO8" i="1" s="1"/>
  <c r="AL8" i="1"/>
  <c r="AL17" i="1" s="1"/>
  <c r="AJ8" i="1"/>
  <c r="AI8" i="1"/>
  <c r="AI17" i="1" s="1"/>
  <c r="AH8" i="1"/>
  <c r="AH17" i="1" s="1"/>
  <c r="AE8" i="1"/>
  <c r="AG8" i="1" s="1"/>
  <c r="AD8" i="1"/>
  <c r="AD17" i="1" s="1"/>
  <c r="AB8" i="1"/>
  <c r="AA8" i="1"/>
  <c r="AA17" i="1" s="1"/>
  <c r="Z8" i="1"/>
  <c r="Z17" i="1" s="1"/>
  <c r="W8" i="1"/>
  <c r="Y8" i="1" s="1"/>
  <c r="V8" i="1"/>
  <c r="V17" i="1" s="1"/>
  <c r="T8" i="1"/>
  <c r="S8" i="1"/>
  <c r="S17" i="1" s="1"/>
  <c r="R8" i="1"/>
  <c r="R17" i="1" s="1"/>
  <c r="O8" i="1"/>
  <c r="Q8" i="1" s="1"/>
  <c r="N8" i="1"/>
  <c r="N17" i="1" s="1"/>
  <c r="L8" i="1"/>
  <c r="K8" i="1"/>
  <c r="K17" i="1" s="1"/>
  <c r="J8" i="1"/>
  <c r="J17" i="1" s="1"/>
  <c r="G8" i="1"/>
  <c r="AY8" i="1" s="1"/>
  <c r="F8" i="1"/>
  <c r="F17" i="1" s="1"/>
  <c r="D8" i="1"/>
  <c r="C8" i="1"/>
  <c r="C17" i="1" s="1"/>
  <c r="B8" i="1"/>
  <c r="AX8" i="1" s="1"/>
  <c r="BA28" i="1" l="1"/>
  <c r="BA8" i="1"/>
  <c r="AW33" i="1"/>
  <c r="AO33" i="1"/>
  <c r="Q17" i="1"/>
  <c r="AS17" i="1"/>
  <c r="AQ18" i="1"/>
  <c r="F18" i="1"/>
  <c r="H17" i="1"/>
  <c r="U17" i="1"/>
  <c r="S18" i="1"/>
  <c r="Y17" i="1"/>
  <c r="J18" i="1"/>
  <c r="L17" i="1"/>
  <c r="AO17" i="1"/>
  <c r="AD18" i="1"/>
  <c r="AG18" i="1" s="1"/>
  <c r="AF17" i="1"/>
  <c r="L24" i="1"/>
  <c r="V18" i="1"/>
  <c r="X17" i="1"/>
  <c r="AK17" i="1"/>
  <c r="AI18" i="1"/>
  <c r="M17" i="1"/>
  <c r="K18" i="1"/>
  <c r="AF30" i="1"/>
  <c r="R18" i="1"/>
  <c r="T17" i="1"/>
  <c r="Z18" i="1"/>
  <c r="AB17" i="1"/>
  <c r="AL18" i="1"/>
  <c r="AN17" i="1"/>
  <c r="N18" i="1"/>
  <c r="P17" i="1"/>
  <c r="BA11" i="1"/>
  <c r="AZ14" i="1"/>
  <c r="AH18" i="1"/>
  <c r="AJ17" i="1"/>
  <c r="AZ8" i="1"/>
  <c r="AC17" i="1"/>
  <c r="AA18" i="1"/>
  <c r="C18" i="1"/>
  <c r="AP18" i="1"/>
  <c r="AR17" i="1"/>
  <c r="I17" i="1"/>
  <c r="AK24" i="1"/>
  <c r="AU17" i="1"/>
  <c r="AE94" i="1"/>
  <c r="AE95" i="1" s="1"/>
  <c r="AX22" i="1"/>
  <c r="AZ22" i="1" s="1"/>
  <c r="M24" i="1"/>
  <c r="AQ30" i="1"/>
  <c r="AS30" i="1" s="1"/>
  <c r="AS26" i="1"/>
  <c r="AR26" i="1"/>
  <c r="Q30" i="1"/>
  <c r="AA33" i="1"/>
  <c r="AC31" i="1"/>
  <c r="D33" i="1"/>
  <c r="U36" i="1"/>
  <c r="T36" i="1"/>
  <c r="AK38" i="1"/>
  <c r="AJ38" i="1"/>
  <c r="AF42" i="1"/>
  <c r="AD47" i="1"/>
  <c r="AF47" i="1" s="1"/>
  <c r="AQ47" i="1"/>
  <c r="AS42" i="1"/>
  <c r="AC50" i="1"/>
  <c r="AB50" i="1"/>
  <c r="AW50" i="1"/>
  <c r="AU54" i="1"/>
  <c r="AV50" i="1"/>
  <c r="E8" i="1"/>
  <c r="M8" i="1"/>
  <c r="U8" i="1"/>
  <c r="AC8" i="1"/>
  <c r="AK8" i="1"/>
  <c r="AS8" i="1"/>
  <c r="AY9" i="1"/>
  <c r="BA9" i="1" s="1"/>
  <c r="AV10" i="1"/>
  <c r="D11" i="1"/>
  <c r="E14" i="1"/>
  <c r="D15" i="1"/>
  <c r="AY15" i="1"/>
  <c r="BA15" i="1" s="1"/>
  <c r="P20" i="1"/>
  <c r="X20" i="1"/>
  <c r="AF21" i="1"/>
  <c r="AB23" i="1"/>
  <c r="AF26" i="1"/>
  <c r="AG27" i="1"/>
  <c r="AC29" i="1"/>
  <c r="AX29" i="1"/>
  <c r="AZ29" i="1" s="1"/>
  <c r="AM30" i="1"/>
  <c r="AO30" i="1" s="1"/>
  <c r="AB31" i="1"/>
  <c r="AN33" i="1"/>
  <c r="U35" i="1"/>
  <c r="S40" i="1"/>
  <c r="T35" i="1"/>
  <c r="AF40" i="1"/>
  <c r="H36" i="1"/>
  <c r="X38" i="1"/>
  <c r="O40" i="1"/>
  <c r="Q40" i="1" s="1"/>
  <c r="AG47" i="1"/>
  <c r="AR42" i="1"/>
  <c r="AJ43" i="1"/>
  <c r="AJ44" i="1"/>
  <c r="AX44" i="1"/>
  <c r="Q46" i="1"/>
  <c r="P46" i="1"/>
  <c r="AS46" i="1"/>
  <c r="AD54" i="1"/>
  <c r="AG49" i="1"/>
  <c r="AF49" i="1"/>
  <c r="T54" i="1"/>
  <c r="AF10" i="1"/>
  <c r="AN22" i="1"/>
  <c r="AV8" i="1"/>
  <c r="AR9" i="1"/>
  <c r="Q10" i="1"/>
  <c r="AO10" i="1"/>
  <c r="AV11" i="1"/>
  <c r="P12" i="1"/>
  <c r="AO13" i="1"/>
  <c r="P15" i="1"/>
  <c r="AY21" i="1"/>
  <c r="BA21" i="1" s="1"/>
  <c r="AV23" i="1"/>
  <c r="U24" i="1"/>
  <c r="AP24" i="1"/>
  <c r="AS24" i="1" s="1"/>
  <c r="K30" i="1"/>
  <c r="M30" i="1" s="1"/>
  <c r="X26" i="1"/>
  <c r="AI30" i="1"/>
  <c r="AK30" i="1" s="1"/>
  <c r="AX27" i="1"/>
  <c r="AZ27" i="1" s="1"/>
  <c r="Q27" i="1"/>
  <c r="X27" i="1"/>
  <c r="D28" i="1"/>
  <c r="AJ28" i="1"/>
  <c r="U29" i="1"/>
  <c r="W30" i="1"/>
  <c r="Y30" i="1" s="1"/>
  <c r="AV30" i="1"/>
  <c r="S33" i="1"/>
  <c r="U31" i="1"/>
  <c r="AY32" i="1"/>
  <c r="E32" i="1"/>
  <c r="D32" i="1"/>
  <c r="AY36" i="1"/>
  <c r="P37" i="1"/>
  <c r="M38" i="1"/>
  <c r="L38" i="1"/>
  <c r="H39" i="1"/>
  <c r="W40" i="1"/>
  <c r="T42" i="1"/>
  <c r="I44" i="1"/>
  <c r="T49" i="1"/>
  <c r="S54" i="1"/>
  <c r="U54" i="1" s="1"/>
  <c r="U49" i="1"/>
  <c r="E11" i="1"/>
  <c r="AX13" i="1"/>
  <c r="AZ13" i="1" s="1"/>
  <c r="AG17" i="1"/>
  <c r="I20" i="1"/>
  <c r="AO20" i="1"/>
  <c r="AG26" i="1"/>
  <c r="D9" i="1"/>
  <c r="AB9" i="1"/>
  <c r="Y10" i="1"/>
  <c r="AX10" i="1"/>
  <c r="X13" i="1"/>
  <c r="AF13" i="1"/>
  <c r="AY13" i="1"/>
  <c r="Y15" i="1"/>
  <c r="AR15" i="1"/>
  <c r="B17" i="1"/>
  <c r="AY20" i="1"/>
  <c r="BA20" i="1" s="1"/>
  <c r="I22" i="1"/>
  <c r="H8" i="1"/>
  <c r="P8" i="1"/>
  <c r="X8" i="1"/>
  <c r="AF8" i="1"/>
  <c r="AN8" i="1"/>
  <c r="M9" i="1"/>
  <c r="U9" i="1"/>
  <c r="AK9" i="1"/>
  <c r="H15" i="1"/>
  <c r="G18" i="1"/>
  <c r="O18" i="1"/>
  <c r="W18" i="1"/>
  <c r="AM18" i="1"/>
  <c r="Y21" i="1"/>
  <c r="X21" i="1"/>
  <c r="AX23" i="1"/>
  <c r="AZ23" i="1" s="1"/>
  <c r="T23" i="1"/>
  <c r="B24" i="1"/>
  <c r="E24" i="1" s="1"/>
  <c r="Z30" i="1"/>
  <c r="AB30" i="1" s="1"/>
  <c r="AX26" i="1"/>
  <c r="AZ26" i="1" s="1"/>
  <c r="I27" i="1"/>
  <c r="P27" i="1"/>
  <c r="E28" i="1"/>
  <c r="F30" i="1"/>
  <c r="H30" i="1" s="1"/>
  <c r="L31" i="1"/>
  <c r="J33" i="1"/>
  <c r="J94" i="1" s="1"/>
  <c r="AG33" i="1"/>
  <c r="AK35" i="1"/>
  <c r="AI40" i="1"/>
  <c r="AN36" i="1"/>
  <c r="M39" i="1"/>
  <c r="L39" i="1"/>
  <c r="AX42" i="1"/>
  <c r="J47" i="1"/>
  <c r="L42" i="1"/>
  <c r="X42" i="1"/>
  <c r="V47" i="1"/>
  <c r="X47" i="1" s="1"/>
  <c r="Q43" i="1"/>
  <c r="P43" i="1"/>
  <c r="AX43" i="1"/>
  <c r="E45" i="1"/>
  <c r="AX45" i="1"/>
  <c r="AZ45" i="1" s="1"/>
  <c r="B47" i="1"/>
  <c r="D45" i="1"/>
  <c r="BA45" i="1"/>
  <c r="AK46" i="1"/>
  <c r="AJ46" i="1"/>
  <c r="AJ52" i="1"/>
  <c r="AH54" i="1"/>
  <c r="AK52" i="1"/>
  <c r="Q24" i="1"/>
  <c r="H10" i="1"/>
  <c r="Q20" i="1"/>
  <c r="AY23" i="1"/>
  <c r="BA23" i="1" s="1"/>
  <c r="I35" i="1"/>
  <c r="AY35" i="1"/>
  <c r="BA35" i="1" s="1"/>
  <c r="G40" i="1"/>
  <c r="H35" i="1"/>
  <c r="I54" i="1"/>
  <c r="H54" i="1"/>
  <c r="AQ74" i="1"/>
  <c r="AS74" i="1" s="1"/>
  <c r="AS71" i="1"/>
  <c r="AR71" i="1"/>
  <c r="I8" i="1"/>
  <c r="H11" i="1"/>
  <c r="P11" i="1"/>
  <c r="X11" i="1"/>
  <c r="AF11" i="1"/>
  <c r="AN11" i="1"/>
  <c r="H13" i="1"/>
  <c r="P13" i="1"/>
  <c r="D20" i="1"/>
  <c r="L20" i="1"/>
  <c r="T20" i="1"/>
  <c r="AB20" i="1"/>
  <c r="AJ20" i="1"/>
  <c r="AR20" i="1"/>
  <c r="Z24" i="1"/>
  <c r="H27" i="1"/>
  <c r="R30" i="1"/>
  <c r="K33" i="1"/>
  <c r="M33" i="1" s="1"/>
  <c r="M31" i="1"/>
  <c r="AK32" i="1"/>
  <c r="AJ32" i="1"/>
  <c r="R33" i="1"/>
  <c r="AY37" i="1"/>
  <c r="E37" i="1"/>
  <c r="D37" i="1"/>
  <c r="AV37" i="1"/>
  <c r="AU40" i="1"/>
  <c r="M42" i="1"/>
  <c r="K47" i="1"/>
  <c r="M47" i="1" s="1"/>
  <c r="S47" i="1"/>
  <c r="Y54" i="1"/>
  <c r="X54" i="1"/>
  <c r="J54" i="1"/>
  <c r="M52" i="1"/>
  <c r="L52" i="1"/>
  <c r="AG20" i="1"/>
  <c r="AJ24" i="1"/>
  <c r="M20" i="1"/>
  <c r="H23" i="1"/>
  <c r="AA24" i="1"/>
  <c r="D30" i="1"/>
  <c r="AX30" i="1"/>
  <c r="AX31" i="1"/>
  <c r="AZ31" i="1" s="1"/>
  <c r="D31" i="1"/>
  <c r="P33" i="1"/>
  <c r="AR31" i="1"/>
  <c r="AZ35" i="1"/>
  <c r="P40" i="1"/>
  <c r="AL40" i="1"/>
  <c r="AN35" i="1"/>
  <c r="AW37" i="1"/>
  <c r="AW38" i="1"/>
  <c r="AY43" i="1"/>
  <c r="BA43" i="1" s="1"/>
  <c r="D43" i="1"/>
  <c r="E43" i="1"/>
  <c r="AW43" i="1"/>
  <c r="AU47" i="1"/>
  <c r="X46" i="1"/>
  <c r="AC57" i="1"/>
  <c r="AB57" i="1"/>
  <c r="AR57" i="1"/>
  <c r="AS57" i="1"/>
  <c r="W94" i="1"/>
  <c r="Y24" i="1"/>
  <c r="Y20" i="1"/>
  <c r="BA29" i="1"/>
  <c r="AC37" i="1"/>
  <c r="AB37" i="1"/>
  <c r="P69" i="1"/>
  <c r="Q69" i="1"/>
  <c r="F24" i="1"/>
  <c r="I24" i="1" s="1"/>
  <c r="P24" i="1"/>
  <c r="X24" i="1"/>
  <c r="AD24" i="1"/>
  <c r="AG24" i="1" s="1"/>
  <c r="AL24" i="1"/>
  <c r="AU24" i="1"/>
  <c r="C30" i="1"/>
  <c r="C94" i="1" s="1"/>
  <c r="E26" i="1"/>
  <c r="AY31" i="1"/>
  <c r="E31" i="1"/>
  <c r="C33" i="1"/>
  <c r="AI33" i="1"/>
  <c r="AK33" i="1" s="1"/>
  <c r="AK31" i="1"/>
  <c r="AR33" i="1"/>
  <c r="AC35" i="1"/>
  <c r="AA40" i="1"/>
  <c r="AC40" i="1" s="1"/>
  <c r="AO37" i="1"/>
  <c r="AX37" i="1"/>
  <c r="AN37" i="1"/>
  <c r="AZ38" i="1"/>
  <c r="BA41" i="1"/>
  <c r="AZ41" i="1"/>
  <c r="AK45" i="1"/>
  <c r="AJ45" i="1"/>
  <c r="AN47" i="1"/>
  <c r="AR50" i="1"/>
  <c r="AS50" i="1"/>
  <c r="AQ54" i="1"/>
  <c r="AS54" i="1" s="1"/>
  <c r="AY53" i="1"/>
  <c r="BA53" i="1" s="1"/>
  <c r="AG77" i="1"/>
  <c r="AF77" i="1"/>
  <c r="AE78" i="1"/>
  <c r="AG78" i="1" s="1"/>
  <c r="X33" i="1"/>
  <c r="W47" i="1"/>
  <c r="AH47" i="1"/>
  <c r="M44" i="1"/>
  <c r="Q45" i="1"/>
  <c r="H46" i="1"/>
  <c r="AW46" i="1"/>
  <c r="BA48" i="1"/>
  <c r="L50" i="1"/>
  <c r="M50" i="1"/>
  <c r="AX52" i="1"/>
  <c r="AZ52" i="1" s="1"/>
  <c r="AJ53" i="1"/>
  <c r="U55" i="1"/>
  <c r="T55" i="1"/>
  <c r="E57" i="1"/>
  <c r="AN23" i="1"/>
  <c r="AT94" i="1"/>
  <c r="AT95" i="1" s="1"/>
  <c r="AJ26" i="1"/>
  <c r="AV28" i="1"/>
  <c r="AV31" i="1"/>
  <c r="P32" i="1"/>
  <c r="AV32" i="1"/>
  <c r="AS36" i="1"/>
  <c r="AK39" i="1"/>
  <c r="AM40" i="1"/>
  <c r="AO40" i="1" s="1"/>
  <c r="Y42" i="1"/>
  <c r="AK42" i="1"/>
  <c r="AB45" i="1"/>
  <c r="AB46" i="1"/>
  <c r="AX46" i="1"/>
  <c r="AZ46" i="1" s="1"/>
  <c r="L49" i="1"/>
  <c r="M49" i="1"/>
  <c r="Y49" i="1"/>
  <c r="X49" i="1"/>
  <c r="AJ49" i="1"/>
  <c r="AK49" i="1"/>
  <c r="AI54" i="1"/>
  <c r="AK54" i="1" s="1"/>
  <c r="Q50" i="1"/>
  <c r="P50" i="1"/>
  <c r="AY52" i="1"/>
  <c r="E52" i="1"/>
  <c r="I55" i="1"/>
  <c r="AG72" i="1"/>
  <c r="AE74" i="1"/>
  <c r="AG74" i="1" s="1"/>
  <c r="AF72" i="1"/>
  <c r="AK73" i="1"/>
  <c r="AJ73" i="1"/>
  <c r="AJ21" i="1"/>
  <c r="AR22" i="1"/>
  <c r="L23" i="1"/>
  <c r="AK26" i="1"/>
  <c r="H28" i="1"/>
  <c r="P28" i="1"/>
  <c r="X28" i="1"/>
  <c r="AF28" i="1"/>
  <c r="AN28" i="1"/>
  <c r="AW31" i="1"/>
  <c r="AV33" i="1"/>
  <c r="K40" i="1"/>
  <c r="M40" i="1" s="1"/>
  <c r="AF35" i="1"/>
  <c r="X36" i="1"/>
  <c r="AF37" i="1"/>
  <c r="AN38" i="1"/>
  <c r="AY39" i="1"/>
  <c r="BA39" i="1" s="1"/>
  <c r="O47" i="1"/>
  <c r="Q47" i="1" s="1"/>
  <c r="Z47" i="1"/>
  <c r="AJ42" i="1"/>
  <c r="H43" i="1"/>
  <c r="AN43" i="1"/>
  <c r="Q44" i="1"/>
  <c r="AF45" i="1"/>
  <c r="T46" i="1"/>
  <c r="N54" i="1"/>
  <c r="P54" i="1" s="1"/>
  <c r="P49" i="1"/>
  <c r="AL54" i="1"/>
  <c r="AN54" i="1" s="1"/>
  <c r="AN49" i="1"/>
  <c r="T50" i="1"/>
  <c r="U50" i="1"/>
  <c r="AF51" i="1"/>
  <c r="AE54" i="1"/>
  <c r="AG54" i="1" s="1"/>
  <c r="D52" i="1"/>
  <c r="P52" i="1"/>
  <c r="Q52" i="1"/>
  <c r="L53" i="1"/>
  <c r="AX55" i="1"/>
  <c r="AY57" i="1"/>
  <c r="AS75" i="1"/>
  <c r="AR75" i="1"/>
  <c r="AV21" i="1"/>
  <c r="S30" i="1"/>
  <c r="U30" i="1" s="1"/>
  <c r="AG35" i="1"/>
  <c r="AQ40" i="1"/>
  <c r="AX36" i="1"/>
  <c r="AZ36" i="1" s="1"/>
  <c r="AY38" i="1"/>
  <c r="BA38" i="1" s="1"/>
  <c r="E38" i="1"/>
  <c r="AA47" i="1"/>
  <c r="AC47" i="1" s="1"/>
  <c r="AC42" i="1"/>
  <c r="AY44" i="1"/>
  <c r="BA44" i="1" s="1"/>
  <c r="AY46" i="1"/>
  <c r="N47" i="1"/>
  <c r="Q53" i="1"/>
  <c r="P53" i="1"/>
  <c r="AZ53" i="1"/>
  <c r="AS60" i="1"/>
  <c r="AR60" i="1"/>
  <c r="C67" i="1"/>
  <c r="E63" i="1"/>
  <c r="AY63" i="1"/>
  <c r="BA63" i="1" s="1"/>
  <c r="D63" i="1"/>
  <c r="C40" i="1"/>
  <c r="J40" i="1"/>
  <c r="G47" i="1"/>
  <c r="I47" i="1" s="1"/>
  <c r="H42" i="1"/>
  <c r="AB42" i="1"/>
  <c r="AY42" i="1"/>
  <c r="BA42" i="1" s="1"/>
  <c r="AR43" i="1"/>
  <c r="D44" i="1"/>
  <c r="X45" i="1"/>
  <c r="AS45" i="1"/>
  <c r="AN46" i="1"/>
  <c r="C47" i="1"/>
  <c r="AI47" i="1"/>
  <c r="AK47" i="1" s="1"/>
  <c r="AG52" i="1"/>
  <c r="AF52" i="1"/>
  <c r="K54" i="1"/>
  <c r="M54" i="1" s="1"/>
  <c r="AK66" i="1"/>
  <c r="AJ66" i="1"/>
  <c r="AY55" i="1"/>
  <c r="BA55" i="1" s="1"/>
  <c r="AG56" i="1"/>
  <c r="E59" i="1"/>
  <c r="AY59" i="1"/>
  <c r="BA59" i="1" s="1"/>
  <c r="D59" i="1"/>
  <c r="M60" i="1"/>
  <c r="L60" i="1"/>
  <c r="AF62" i="1"/>
  <c r="AD67" i="1"/>
  <c r="AF67" i="1" s="1"/>
  <c r="AX62" i="1"/>
  <c r="Q63" i="1"/>
  <c r="P63" i="1"/>
  <c r="AZ66" i="1"/>
  <c r="X73" i="1"/>
  <c r="V74" i="1"/>
  <c r="X74" i="1" s="1"/>
  <c r="G84" i="1"/>
  <c r="I84" i="1" s="1"/>
  <c r="I81" i="1"/>
  <c r="H81" i="1"/>
  <c r="D49" i="1"/>
  <c r="AY49" i="1"/>
  <c r="AX49" i="1"/>
  <c r="AZ49" i="1" s="1"/>
  <c r="AX56" i="1"/>
  <c r="AZ56" i="1" s="1"/>
  <c r="X56" i="1"/>
  <c r="AV60" i="1"/>
  <c r="AE67" i="1"/>
  <c r="L64" i="1"/>
  <c r="J67" i="1"/>
  <c r="AB65" i="1"/>
  <c r="AV67" i="1"/>
  <c r="AF70" i="1"/>
  <c r="AY73" i="1"/>
  <c r="Y73" i="1"/>
  <c r="W74" i="1"/>
  <c r="P79" i="1"/>
  <c r="Q79" i="1"/>
  <c r="AY50" i="1"/>
  <c r="BA50" i="1" s="1"/>
  <c r="B54" i="1"/>
  <c r="AS55" i="1"/>
  <c r="AR55" i="1"/>
  <c r="AZ59" i="1"/>
  <c r="AV78" i="1"/>
  <c r="AV84" i="1"/>
  <c r="Q87" i="1"/>
  <c r="P87" i="1"/>
  <c r="D50" i="1"/>
  <c r="AN50" i="1"/>
  <c r="I52" i="1"/>
  <c r="C54" i="1"/>
  <c r="AG55" i="1"/>
  <c r="Q56" i="1"/>
  <c r="AX57" i="1"/>
  <c r="AZ57" i="1" s="1"/>
  <c r="AX58" i="1"/>
  <c r="AZ58" i="1" s="1"/>
  <c r="AJ59" i="1"/>
  <c r="AJ60" i="1"/>
  <c r="AK60" i="1"/>
  <c r="AW61" i="1"/>
  <c r="AV61" i="1"/>
  <c r="Y67" i="1"/>
  <c r="AZ63" i="1"/>
  <c r="AF64" i="1"/>
  <c r="AY65" i="1"/>
  <c r="AK76" i="1"/>
  <c r="E77" i="1"/>
  <c r="AY77" i="1"/>
  <c r="BA77" i="1" s="1"/>
  <c r="D77" i="1"/>
  <c r="AO59" i="1"/>
  <c r="AN59" i="1"/>
  <c r="H61" i="1"/>
  <c r="AY61" i="1"/>
  <c r="I61" i="1"/>
  <c r="I70" i="1"/>
  <c r="H70" i="1"/>
  <c r="AY70" i="1"/>
  <c r="E71" i="1"/>
  <c r="C74" i="1"/>
  <c r="D71" i="1"/>
  <c r="AY71" i="1"/>
  <c r="Z78" i="1"/>
  <c r="AC76" i="1"/>
  <c r="AB76" i="1"/>
  <c r="AZ51" i="1"/>
  <c r="AA54" i="1"/>
  <c r="AC54" i="1" s="1"/>
  <c r="P55" i="1"/>
  <c r="I56" i="1"/>
  <c r="AO56" i="1"/>
  <c r="Y60" i="1"/>
  <c r="X60" i="1"/>
  <c r="O67" i="1"/>
  <c r="Q67" i="1" s="1"/>
  <c r="AM67" i="1"/>
  <c r="AO67" i="1" s="1"/>
  <c r="AO63" i="1"/>
  <c r="AN63" i="1"/>
  <c r="AX65" i="1"/>
  <c r="AZ65" i="1" s="1"/>
  <c r="D65" i="1"/>
  <c r="B67" i="1"/>
  <c r="AJ67" i="1"/>
  <c r="AO68" i="1"/>
  <c r="AN68" i="1"/>
  <c r="I71" i="1"/>
  <c r="H71" i="1"/>
  <c r="Q78" i="1"/>
  <c r="AX64" i="1"/>
  <c r="U68" i="1"/>
  <c r="T68" i="1"/>
  <c r="AX72" i="1"/>
  <c r="D74" i="1"/>
  <c r="Y77" i="1"/>
  <c r="X77" i="1"/>
  <c r="AS77" i="1"/>
  <c r="AR77" i="1"/>
  <c r="AB91" i="1"/>
  <c r="AA92" i="1"/>
  <c r="AC91" i="1"/>
  <c r="I60" i="1"/>
  <c r="AC62" i="1"/>
  <c r="AA67" i="1"/>
  <c r="AC67" i="1" s="1"/>
  <c r="AY62" i="1"/>
  <c r="BA62" i="1" s="1"/>
  <c r="I64" i="1"/>
  <c r="AC64" i="1"/>
  <c r="AY64" i="1"/>
  <c r="BA64" i="1" s="1"/>
  <c r="X65" i="1"/>
  <c r="T67" i="1"/>
  <c r="AW68" i="1"/>
  <c r="AN69" i="1"/>
  <c r="AC70" i="1"/>
  <c r="AN71" i="1"/>
  <c r="AY72" i="1"/>
  <c r="BA72" i="1" s="1"/>
  <c r="H74" i="1"/>
  <c r="AC75" i="1"/>
  <c r="B78" i="1"/>
  <c r="D76" i="1"/>
  <c r="AH78" i="1"/>
  <c r="AJ78" i="1" s="1"/>
  <c r="AJ76" i="1"/>
  <c r="AW76" i="1"/>
  <c r="AV76" i="1"/>
  <c r="AK83" i="1"/>
  <c r="AJ83" i="1"/>
  <c r="AX83" i="1"/>
  <c r="AZ83" i="1" s="1"/>
  <c r="H84" i="1"/>
  <c r="U86" i="1"/>
  <c r="T86" i="1"/>
  <c r="AZ86" i="1"/>
  <c r="AG62" i="1"/>
  <c r="AQ67" i="1"/>
  <c r="AS67" i="1" s="1"/>
  <c r="AR62" i="1"/>
  <c r="M64" i="1"/>
  <c r="I66" i="1"/>
  <c r="AY69" i="1"/>
  <c r="BA69" i="1" s="1"/>
  <c r="E69" i="1"/>
  <c r="L74" i="1"/>
  <c r="AB74" i="1"/>
  <c r="AR74" i="1"/>
  <c r="G78" i="1"/>
  <c r="I78" i="1" s="1"/>
  <c r="I76" i="1"/>
  <c r="AN76" i="1"/>
  <c r="AL78" i="1"/>
  <c r="AO76" i="1"/>
  <c r="AZ77" i="1"/>
  <c r="AU78" i="1"/>
  <c r="AW78" i="1" s="1"/>
  <c r="BA85" i="1"/>
  <c r="AV57" i="1"/>
  <c r="AN60" i="1"/>
  <c r="AY60" i="1"/>
  <c r="BA60" i="1" s="1"/>
  <c r="AS62" i="1"/>
  <c r="S67" i="1"/>
  <c r="U67" i="1" s="1"/>
  <c r="AJ64" i="1"/>
  <c r="AO65" i="1"/>
  <c r="X66" i="1"/>
  <c r="AN66" i="1"/>
  <c r="AY66" i="1"/>
  <c r="BA66" i="1" s="1"/>
  <c r="AN67" i="1"/>
  <c r="D69" i="1"/>
  <c r="U69" i="1"/>
  <c r="T69" i="1"/>
  <c r="AJ70" i="1"/>
  <c r="S74" i="1"/>
  <c r="U74" i="1" s="1"/>
  <c r="T71" i="1"/>
  <c r="H72" i="1"/>
  <c r="AC73" i="1"/>
  <c r="AB73" i="1"/>
  <c r="AX73" i="1"/>
  <c r="AZ73" i="1" s="1"/>
  <c r="N74" i="1"/>
  <c r="P74" i="1" s="1"/>
  <c r="AF74" i="1"/>
  <c r="AV74" i="1"/>
  <c r="H76" i="1"/>
  <c r="S78" i="1"/>
  <c r="U78" i="1" s="1"/>
  <c r="U76" i="1"/>
  <c r="W78" i="1"/>
  <c r="Y78" i="1" s="1"/>
  <c r="AG80" i="1"/>
  <c r="AF80" i="1"/>
  <c r="AS81" i="1"/>
  <c r="AR81" i="1"/>
  <c r="AQ84" i="1"/>
  <c r="AC82" i="1"/>
  <c r="AB82" i="1"/>
  <c r="AY82" i="1"/>
  <c r="AX92" i="1"/>
  <c r="H57" i="1"/>
  <c r="P57" i="1"/>
  <c r="X57" i="1"/>
  <c r="AF57" i="1"/>
  <c r="AN57" i="1"/>
  <c r="AI67" i="1"/>
  <c r="AK67" i="1" s="1"/>
  <c r="X64" i="1"/>
  <c r="AB67" i="1"/>
  <c r="K74" i="1"/>
  <c r="M74" i="1" s="1"/>
  <c r="M72" i="1"/>
  <c r="P73" i="1"/>
  <c r="AU74" i="1"/>
  <c r="AW74" i="1" s="1"/>
  <c r="K78" i="1"/>
  <c r="M76" i="1"/>
  <c r="T76" i="1"/>
  <c r="AR78" i="1"/>
  <c r="U77" i="1"/>
  <c r="T77" i="1"/>
  <c r="AA84" i="1"/>
  <c r="AU84" i="1"/>
  <c r="AW84" i="1" s="1"/>
  <c r="AV81" i="1"/>
  <c r="AW81" i="1"/>
  <c r="D60" i="1"/>
  <c r="K67" i="1"/>
  <c r="M67" i="1" s="1"/>
  <c r="M62" i="1"/>
  <c r="AJ62" i="1"/>
  <c r="AV62" i="1"/>
  <c r="U63" i="1"/>
  <c r="D64" i="1"/>
  <c r="AW64" i="1"/>
  <c r="H65" i="1"/>
  <c r="U65" i="1"/>
  <c r="AR65" i="1"/>
  <c r="Q66" i="1"/>
  <c r="P66" i="1"/>
  <c r="AY68" i="1"/>
  <c r="BA68" i="1" s="1"/>
  <c r="E68" i="1"/>
  <c r="Q68" i="1"/>
  <c r="H69" i="1"/>
  <c r="AJ69" i="1"/>
  <c r="AZ69" i="1"/>
  <c r="X70" i="1"/>
  <c r="AX70" i="1"/>
  <c r="AZ70" i="1" s="1"/>
  <c r="Y71" i="1"/>
  <c r="X71" i="1"/>
  <c r="L72" i="1"/>
  <c r="AV72" i="1"/>
  <c r="AY75" i="1"/>
  <c r="L76" i="1"/>
  <c r="AQ78" i="1"/>
  <c r="AS78" i="1" s="1"/>
  <c r="AS76" i="1"/>
  <c r="H77" i="1"/>
  <c r="AO77" i="1"/>
  <c r="AF78" i="1"/>
  <c r="I79" i="1"/>
  <c r="H79" i="1"/>
  <c r="AY81" i="1"/>
  <c r="BA81" i="1" s="1"/>
  <c r="AC81" i="1"/>
  <c r="AJ82" i="1"/>
  <c r="AK82" i="1"/>
  <c r="H92" i="1"/>
  <c r="R78" i="1"/>
  <c r="T78" i="1" s="1"/>
  <c r="AA78" i="1"/>
  <c r="AC78" i="1" s="1"/>
  <c r="AY79" i="1"/>
  <c r="AG84" i="1"/>
  <c r="AG82" i="1"/>
  <c r="AF82" i="1"/>
  <c r="T85" i="1"/>
  <c r="AG85" i="1"/>
  <c r="AF85" i="1"/>
  <c r="H90" i="1"/>
  <c r="E80" i="1"/>
  <c r="D80" i="1"/>
  <c r="AH84" i="1"/>
  <c r="I87" i="1"/>
  <c r="H87" i="1"/>
  <c r="AG87" i="1"/>
  <c r="AV92" i="1"/>
  <c r="AI74" i="1"/>
  <c r="AK74" i="1" s="1"/>
  <c r="C78" i="1"/>
  <c r="E76" i="1"/>
  <c r="AY76" i="1"/>
  <c r="BA76" i="1" s="1"/>
  <c r="AR79" i="1"/>
  <c r="AX79" i="1"/>
  <c r="AZ79" i="1" s="1"/>
  <c r="AK80" i="1"/>
  <c r="AJ80" i="1"/>
  <c r="AY80" i="1"/>
  <c r="K84" i="1"/>
  <c r="M81" i="1"/>
  <c r="L81" i="1"/>
  <c r="AK81" i="1"/>
  <c r="AI84" i="1"/>
  <c r="AK84" i="1" s="1"/>
  <c r="AY83" i="1"/>
  <c r="D83" i="1"/>
  <c r="AS83" i="1"/>
  <c r="AR83" i="1"/>
  <c r="M85" i="1"/>
  <c r="AW87" i="1"/>
  <c r="AV87" i="1"/>
  <c r="BA90" i="1"/>
  <c r="AO92" i="1"/>
  <c r="E92" i="1"/>
  <c r="H78" i="1"/>
  <c r="AG79" i="1"/>
  <c r="I80" i="1"/>
  <c r="AJ81" i="1"/>
  <c r="I82" i="1"/>
  <c r="H82" i="1"/>
  <c r="E83" i="1"/>
  <c r="T83" i="1"/>
  <c r="R84" i="1"/>
  <c r="T84" i="1" s="1"/>
  <c r="AY86" i="1"/>
  <c r="BA86" i="1" s="1"/>
  <c r="AG92" i="1"/>
  <c r="X78" i="1"/>
  <c r="B84" i="1"/>
  <c r="D81" i="1"/>
  <c r="AX81" i="1"/>
  <c r="Q84" i="1"/>
  <c r="AB81" i="1"/>
  <c r="Z84" i="1"/>
  <c r="AB84" i="1" s="1"/>
  <c r="AM84" i="1"/>
  <c r="AO81" i="1"/>
  <c r="AN81" i="1"/>
  <c r="L82" i="1"/>
  <c r="J84" i="1"/>
  <c r="L84" i="1" s="1"/>
  <c r="AX82" i="1"/>
  <c r="AZ82" i="1" s="1"/>
  <c r="X84" i="1"/>
  <c r="Y92" i="1"/>
  <c r="S92" i="1"/>
  <c r="AY92" i="1" s="1"/>
  <c r="BA92" i="1" s="1"/>
  <c r="U91" i="1"/>
  <c r="T91" i="1"/>
  <c r="Q92" i="1"/>
  <c r="E85" i="1"/>
  <c r="I90" i="1"/>
  <c r="Q90" i="1"/>
  <c r="Y90" i="1"/>
  <c r="AG90" i="1"/>
  <c r="AO90" i="1"/>
  <c r="AY91" i="1"/>
  <c r="BA91" i="1" s="1"/>
  <c r="AU92" i="1"/>
  <c r="AW92" i="1" s="1"/>
  <c r="AF81" i="1"/>
  <c r="AF91" i="1"/>
  <c r="C84" i="1"/>
  <c r="AV83" i="1"/>
  <c r="H85" i="1"/>
  <c r="X86" i="1"/>
  <c r="AY87" i="1"/>
  <c r="BA87" i="1" s="1"/>
  <c r="Y82" i="1"/>
  <c r="BA37" i="1" l="1"/>
  <c r="AZ10" i="1"/>
  <c r="BB10" i="1"/>
  <c r="T33" i="1"/>
  <c r="AE96" i="1"/>
  <c r="AC92" i="1"/>
  <c r="AB92" i="1"/>
  <c r="AU94" i="1"/>
  <c r="AW94" i="1" s="1"/>
  <c r="AW24" i="1"/>
  <c r="AW47" i="1"/>
  <c r="AV47" i="1"/>
  <c r="AM94" i="1"/>
  <c r="AI94" i="1"/>
  <c r="AI95" i="1" s="1"/>
  <c r="AB18" i="1"/>
  <c r="AK18" i="1"/>
  <c r="AZ91" i="1"/>
  <c r="M84" i="1"/>
  <c r="AY78" i="1"/>
  <c r="E78" i="1"/>
  <c r="BA79" i="1"/>
  <c r="AZ75" i="1"/>
  <c r="BA75" i="1"/>
  <c r="AZ72" i="1"/>
  <c r="BA70" i="1"/>
  <c r="AZ87" i="1"/>
  <c r="D54" i="1"/>
  <c r="AX54" i="1"/>
  <c r="AR54" i="1"/>
  <c r="L40" i="1"/>
  <c r="AV24" i="1"/>
  <c r="AB47" i="1"/>
  <c r="AL94" i="1"/>
  <c r="AN24" i="1"/>
  <c r="AN40" i="1"/>
  <c r="L30" i="1"/>
  <c r="AW40" i="1"/>
  <c r="AV40" i="1"/>
  <c r="BA36" i="1"/>
  <c r="AZ44" i="1"/>
  <c r="AQ94" i="1"/>
  <c r="AZ9" i="1"/>
  <c r="AY40" i="1"/>
  <c r="E40" i="1"/>
  <c r="AT96" i="1"/>
  <c r="P67" i="1"/>
  <c r="BA49" i="1"/>
  <c r="AZ50" i="1"/>
  <c r="AJ47" i="1"/>
  <c r="AY33" i="1"/>
  <c r="E33" i="1"/>
  <c r="L54" i="1"/>
  <c r="I30" i="1"/>
  <c r="O94" i="1"/>
  <c r="AK40" i="1"/>
  <c r="AJ40" i="1"/>
  <c r="AO18" i="1"/>
  <c r="B18" i="1"/>
  <c r="E18" i="1" s="1"/>
  <c r="D17" i="1"/>
  <c r="AX17" i="1"/>
  <c r="Y40" i="1"/>
  <c r="X40" i="1"/>
  <c r="AP94" i="1"/>
  <c r="AR24" i="1"/>
  <c r="U40" i="1"/>
  <c r="T40" i="1"/>
  <c r="AR47" i="1"/>
  <c r="AS47" i="1"/>
  <c r="AH94" i="1"/>
  <c r="AW17" i="1"/>
  <c r="AU18" i="1"/>
  <c r="AR18" i="1"/>
  <c r="P18" i="1"/>
  <c r="X18" i="1"/>
  <c r="BA10" i="1"/>
  <c r="U84" i="1"/>
  <c r="AZ81" i="1"/>
  <c r="AX74" i="1"/>
  <c r="AD94" i="1"/>
  <c r="AF94" i="1" s="1"/>
  <c r="AF24" i="1"/>
  <c r="AZ92" i="1"/>
  <c r="AY54" i="1"/>
  <c r="E54" i="1"/>
  <c r="L67" i="1"/>
  <c r="D84" i="1"/>
  <c r="AX84" i="1"/>
  <c r="BA83" i="1"/>
  <c r="BA82" i="1"/>
  <c r="AN78" i="1"/>
  <c r="AO78" i="1"/>
  <c r="AR67" i="1"/>
  <c r="D67" i="1"/>
  <c r="AX67" i="1"/>
  <c r="AB78" i="1"/>
  <c r="AK78" i="1"/>
  <c r="AO54" i="1"/>
  <c r="BA52" i="1"/>
  <c r="Y47" i="1"/>
  <c r="AZ37" i="1"/>
  <c r="V94" i="1"/>
  <c r="X94" i="1" s="1"/>
  <c r="AB40" i="1"/>
  <c r="AA94" i="1"/>
  <c r="AA95" i="1" s="1"/>
  <c r="AC24" i="1"/>
  <c r="T30" i="1"/>
  <c r="I40" i="1"/>
  <c r="H40" i="1"/>
  <c r="AX47" i="1"/>
  <c r="D47" i="1"/>
  <c r="W95" i="1"/>
  <c r="Y18" i="1"/>
  <c r="AX40" i="1"/>
  <c r="AZ40" i="1" s="1"/>
  <c r="BA32" i="1"/>
  <c r="AZ32" i="1"/>
  <c r="AJ30" i="1"/>
  <c r="AB33" i="1"/>
  <c r="AC33" i="1"/>
  <c r="AY24" i="1"/>
  <c r="C95" i="1"/>
  <c r="AY18" i="1"/>
  <c r="BA22" i="1"/>
  <c r="BA26" i="1"/>
  <c r="BA80" i="1"/>
  <c r="AZ80" i="1"/>
  <c r="AB54" i="1"/>
  <c r="T18" i="1"/>
  <c r="U18" i="1"/>
  <c r="U92" i="1"/>
  <c r="T92" i="1"/>
  <c r="M78" i="1"/>
  <c r="L78" i="1"/>
  <c r="AZ64" i="1"/>
  <c r="BA71" i="1"/>
  <c r="AZ71" i="1"/>
  <c r="BA61" i="1"/>
  <c r="AZ61" i="1"/>
  <c r="AZ68" i="1"/>
  <c r="Y74" i="1"/>
  <c r="AG67" i="1"/>
  <c r="AZ62" i="1"/>
  <c r="Q54" i="1"/>
  <c r="BA57" i="1"/>
  <c r="Q74" i="1"/>
  <c r="BA31" i="1"/>
  <c r="AZ39" i="1"/>
  <c r="AJ33" i="1"/>
  <c r="AJ54" i="1"/>
  <c r="L47" i="1"/>
  <c r="O95" i="1"/>
  <c r="Q18" i="1"/>
  <c r="X30" i="1"/>
  <c r="G94" i="1"/>
  <c r="S94" i="1"/>
  <c r="S95" i="1" s="1"/>
  <c r="AF54" i="1"/>
  <c r="AX33" i="1"/>
  <c r="AZ33" i="1" s="1"/>
  <c r="AN30" i="1"/>
  <c r="K94" i="1"/>
  <c r="M94" i="1" s="1"/>
  <c r="AY17" i="1"/>
  <c r="AJ18" i="1"/>
  <c r="AV17" i="1"/>
  <c r="J95" i="1"/>
  <c r="L18" i="1"/>
  <c r="H18" i="1"/>
  <c r="AO84" i="1"/>
  <c r="AN84" i="1"/>
  <c r="AX78" i="1"/>
  <c r="AZ78" i="1" s="1"/>
  <c r="D78" i="1"/>
  <c r="AJ74" i="1"/>
  <c r="AY67" i="1"/>
  <c r="BA67" i="1" s="1"/>
  <c r="E67" i="1"/>
  <c r="P47" i="1"/>
  <c r="AR40" i="1"/>
  <c r="AS40" i="1"/>
  <c r="AZ55" i="1"/>
  <c r="N94" i="1"/>
  <c r="AR30" i="1"/>
  <c r="U47" i="1"/>
  <c r="T47" i="1"/>
  <c r="Z94" i="1"/>
  <c r="AB24" i="1"/>
  <c r="AZ42" i="1"/>
  <c r="L33" i="1"/>
  <c r="B94" i="1"/>
  <c r="AX24" i="1"/>
  <c r="D24" i="1"/>
  <c r="I18" i="1"/>
  <c r="BA13" i="1"/>
  <c r="U33" i="1"/>
  <c r="AV54" i="1"/>
  <c r="AW54" i="1"/>
  <c r="E17" i="1"/>
  <c r="AZ20" i="1"/>
  <c r="AL95" i="1"/>
  <c r="AN18" i="1"/>
  <c r="M18" i="1"/>
  <c r="AC30" i="1"/>
  <c r="AQ95" i="1"/>
  <c r="AS18" i="1"/>
  <c r="BA56" i="1"/>
  <c r="E84" i="1"/>
  <c r="AY84" i="1"/>
  <c r="BA84" i="1" s="1"/>
  <c r="BA65" i="1"/>
  <c r="AJ84" i="1"/>
  <c r="AC84" i="1"/>
  <c r="AS84" i="1"/>
  <c r="AR84" i="1"/>
  <c r="T74" i="1"/>
  <c r="E74" i="1"/>
  <c r="AY74" i="1"/>
  <c r="BA74" i="1" s="1"/>
  <c r="AZ60" i="1"/>
  <c r="BA73" i="1"/>
  <c r="AZ76" i="1"/>
  <c r="AY47" i="1"/>
  <c r="BA47" i="1" s="1"/>
  <c r="E47" i="1"/>
  <c r="BA46" i="1"/>
  <c r="AY30" i="1"/>
  <c r="BA30" i="1" s="1"/>
  <c r="E30" i="1"/>
  <c r="F94" i="1"/>
  <c r="F95" i="1" s="1"/>
  <c r="H24" i="1"/>
  <c r="R94" i="1"/>
  <c r="T94" i="1" s="1"/>
  <c r="H47" i="1"/>
  <c r="AZ43" i="1"/>
  <c r="D40" i="1"/>
  <c r="BA27" i="1"/>
  <c r="AO24" i="1"/>
  <c r="AC18" i="1"/>
  <c r="AZ15" i="1"/>
  <c r="AF18" i="1"/>
  <c r="AZ21" i="1"/>
  <c r="BA54" i="1" l="1"/>
  <c r="BA24" i="1"/>
  <c r="AO94" i="1"/>
  <c r="AR94" i="1"/>
  <c r="AJ94" i="1"/>
  <c r="AP95" i="1"/>
  <c r="AP96" i="1" s="1"/>
  <c r="BA17" i="1"/>
  <c r="AB94" i="1"/>
  <c r="AV94" i="1"/>
  <c r="AM95" i="1"/>
  <c r="AN95" i="1" s="1"/>
  <c r="K95" i="1"/>
  <c r="L95" i="1" s="1"/>
  <c r="P94" i="1"/>
  <c r="I94" i="1"/>
  <c r="V95" i="1"/>
  <c r="Y95" i="1" s="1"/>
  <c r="AG94" i="1"/>
  <c r="AD95" i="1"/>
  <c r="AG95" i="1" s="1"/>
  <c r="AH95" i="1"/>
  <c r="AJ95" i="1" s="1"/>
  <c r="Y94" i="1"/>
  <c r="F96" i="1"/>
  <c r="O96" i="1"/>
  <c r="AI96" i="1"/>
  <c r="AL96" i="1"/>
  <c r="G95" i="1"/>
  <c r="R95" i="1"/>
  <c r="U95" i="1" s="1"/>
  <c r="C96" i="1"/>
  <c r="AC94" i="1"/>
  <c r="AZ84" i="1"/>
  <c r="N95" i="1"/>
  <c r="Q95" i="1" s="1"/>
  <c r="B95" i="1"/>
  <c r="E95" i="1" s="1"/>
  <c r="AX18" i="1"/>
  <c r="AZ18" i="1" s="1"/>
  <c r="D18" i="1"/>
  <c r="AZ74" i="1"/>
  <c r="Z95" i="1"/>
  <c r="AZ24" i="1"/>
  <c r="J96" i="1"/>
  <c r="AZ54" i="1"/>
  <c r="AK94" i="1"/>
  <c r="L94" i="1"/>
  <c r="W96" i="1"/>
  <c r="AZ67" i="1"/>
  <c r="BA33" i="1"/>
  <c r="AQ96" i="1"/>
  <c r="D94" i="1"/>
  <c r="AX94" i="1"/>
  <c r="U94" i="1"/>
  <c r="AZ47" i="1"/>
  <c r="AU95" i="1"/>
  <c r="AW18" i="1"/>
  <c r="AV18" i="1"/>
  <c r="BA40" i="1"/>
  <c r="BA78" i="1"/>
  <c r="AA96" i="1"/>
  <c r="H94" i="1"/>
  <c r="Q94" i="1"/>
  <c r="AS94" i="1"/>
  <c r="AN94" i="1"/>
  <c r="AY94" i="1"/>
  <c r="S96" i="1"/>
  <c r="AZ30" i="1"/>
  <c r="AZ17" i="1"/>
  <c r="E94" i="1"/>
  <c r="BA18" i="1" l="1"/>
  <c r="AR95" i="1"/>
  <c r="AH96" i="1"/>
  <c r="AS95" i="1"/>
  <c r="AK95" i="1"/>
  <c r="AD96" i="1"/>
  <c r="AF96" i="1" s="1"/>
  <c r="AF95" i="1"/>
  <c r="BA94" i="1"/>
  <c r="AM96" i="1"/>
  <c r="AN96" i="1" s="1"/>
  <c r="AO95" i="1"/>
  <c r="AK96" i="1"/>
  <c r="AY95" i="1"/>
  <c r="AS96" i="1"/>
  <c r="M95" i="1"/>
  <c r="K96" i="1"/>
  <c r="L96" i="1" s="1"/>
  <c r="V96" i="1"/>
  <c r="X96" i="1" s="1"/>
  <c r="X95" i="1"/>
  <c r="AJ96" i="1"/>
  <c r="R96" i="1"/>
  <c r="T96" i="1" s="1"/>
  <c r="T95" i="1"/>
  <c r="Z96" i="1"/>
  <c r="AB96" i="1" s="1"/>
  <c r="AB95" i="1"/>
  <c r="AW95" i="1"/>
  <c r="AU96" i="1"/>
  <c r="AV95" i="1"/>
  <c r="AZ94" i="1"/>
  <c r="AR96" i="1"/>
  <c r="B96" i="1"/>
  <c r="E96" i="1" s="1"/>
  <c r="D95" i="1"/>
  <c r="AX95" i="1"/>
  <c r="I95" i="1"/>
  <c r="G96" i="1"/>
  <c r="I96" i="1" s="1"/>
  <c r="AC95" i="1"/>
  <c r="P95" i="1"/>
  <c r="N96" i="1"/>
  <c r="P96" i="1" s="1"/>
  <c r="H95" i="1"/>
  <c r="AO96" i="1" l="1"/>
  <c r="AG96" i="1"/>
  <c r="Q96" i="1"/>
  <c r="M96" i="1"/>
  <c r="AZ95" i="1"/>
  <c r="AC96" i="1"/>
  <c r="Y96" i="1"/>
  <c r="H96" i="1"/>
  <c r="BA95" i="1"/>
  <c r="AY96" i="1"/>
  <c r="AW96" i="1"/>
  <c r="AV96" i="1"/>
  <c r="D96" i="1"/>
  <c r="AX96" i="1"/>
  <c r="U96" i="1"/>
  <c r="AZ96" i="1" l="1"/>
  <c r="BA96" i="1"/>
</calcChain>
</file>

<file path=xl/sharedStrings.xml><?xml version="1.0" encoding="utf-8"?>
<sst xmlns="http://schemas.openxmlformats.org/spreadsheetml/2006/main" count="158" uniqueCount="110">
  <si>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</si>
  <si>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</si>
  <si>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</si>
  <si>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</si>
  <si>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</si>
  <si>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</si>
  <si>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</si>
  <si>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</si>
  <si>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</si>
  <si>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</si>
  <si>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</si>
  <si>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</si>
  <si>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Total</t>
  </si>
  <si>
    <t>Actual</t>
  </si>
  <si>
    <t>Budget</t>
  </si>
  <si>
    <t>over Budget</t>
  </si>
  <si>
    <t>% of Budget</t>
  </si>
  <si>
    <t>Revenue</t>
  </si>
  <si>
    <t xml:space="preserve">   15010 Pledges</t>
  </si>
  <si>
    <t xml:space="preserve">   15030 NonPledge</t>
  </si>
  <si>
    <t xml:space="preserve">   15050 Fundraising Income</t>
  </si>
  <si>
    <t xml:space="preserve">   15060 Interest&amp;Dividends</t>
  </si>
  <si>
    <t xml:space="preserve">   15080 Spaceusage</t>
  </si>
  <si>
    <t xml:space="preserve">   15090 OtherIncome</t>
  </si>
  <si>
    <t xml:space="preserve">   15100 Parkinglotrent</t>
  </si>
  <si>
    <t xml:space="preserve">   16020 Uncategorized Revenue</t>
  </si>
  <si>
    <t>Total Revenue</t>
  </si>
  <si>
    <t>Gross Profit</t>
  </si>
  <si>
    <t>Expenditures</t>
  </si>
  <si>
    <t xml:space="preserve">   21000 Payroll</t>
  </si>
  <si>
    <t xml:space="preserve">      21100 Payroll minister</t>
  </si>
  <si>
    <t xml:space="preserve">      21400 Payroll Childcare</t>
  </si>
  <si>
    <t xml:space="preserve">      21500 Payroll expenses</t>
  </si>
  <si>
    <t xml:space="preserve">   Total 21000 Payroll</t>
  </si>
  <si>
    <t xml:space="preserve">   22000 Insurance (restored)</t>
  </si>
  <si>
    <t xml:space="preserve">      22200 NYS Disability</t>
  </si>
  <si>
    <t xml:space="preserve">      22300 Life LTDins</t>
  </si>
  <si>
    <t xml:space="preserve">      22400 Workers Comp</t>
  </si>
  <si>
    <t xml:space="preserve">      22500 Medical and Dental Insurance</t>
  </si>
  <si>
    <t xml:space="preserve">   Total 22000 Insurance (restored)</t>
  </si>
  <si>
    <t xml:space="preserve">   23000 Pensions</t>
  </si>
  <si>
    <t xml:space="preserve">      23100 Pensions DRE</t>
  </si>
  <si>
    <t xml:space="preserve">   Total 23000 Pensions</t>
  </si>
  <si>
    <t xml:space="preserve">   27000 Professional Expenses</t>
  </si>
  <si>
    <t xml:space="preserve">      27100 minister</t>
  </si>
  <si>
    <t xml:space="preserve">      27200 IDFM</t>
  </si>
  <si>
    <t xml:space="preserve">      27300 Music director</t>
  </si>
  <si>
    <t xml:space="preserve">      27400 Membership coordinator</t>
  </si>
  <si>
    <t xml:space="preserve">      27500 Commissioned Lay Ministry</t>
  </si>
  <si>
    <t xml:space="preserve">   Total 27000 Professional Expenses</t>
  </si>
  <si>
    <t xml:space="preserve">   31000 Utilities (restored)</t>
  </si>
  <si>
    <t xml:space="preserve">      31100 Gas</t>
  </si>
  <si>
    <t xml:space="preserve">      31200 Electric</t>
  </si>
  <si>
    <t xml:space="preserve">      31300 Water</t>
  </si>
  <si>
    <t xml:space="preserve">      31400 Garbage</t>
  </si>
  <si>
    <t xml:space="preserve">      31500 Telephone &amp; Internet</t>
  </si>
  <si>
    <t xml:space="preserve">   Total 31000 Utilities (restored)</t>
  </si>
  <si>
    <t xml:space="preserve">   38000 Total Property</t>
  </si>
  <si>
    <t xml:space="preserve">      38100 Total Property  Repairs, materials</t>
  </si>
  <si>
    <t xml:space="preserve">      38200 Lawn &amp; Tree</t>
  </si>
  <si>
    <t xml:space="preserve">      38300 Property insurance</t>
  </si>
  <si>
    <t xml:space="preserve">      38400 Custodial Supplies</t>
  </si>
  <si>
    <t xml:space="preserve">      38600 Snow Removal</t>
  </si>
  <si>
    <t xml:space="preserve">   Total 38000 Total Property</t>
  </si>
  <si>
    <t xml:space="preserve">   40000 Office Equipment</t>
  </si>
  <si>
    <t xml:space="preserve">   41000 Office &amp; Beacon</t>
  </si>
  <si>
    <t xml:space="preserve">   47000 Finance</t>
  </si>
  <si>
    <t xml:space="preserve">   48000 Fundraising Expenses</t>
  </si>
  <si>
    <t xml:space="preserve">   52000 Program Council</t>
  </si>
  <si>
    <t xml:space="preserve">   52250 Aesthetics Committee</t>
  </si>
  <si>
    <t xml:space="preserve">   52255 HeaRT Committee</t>
  </si>
  <si>
    <t xml:space="preserve">   53000 Membership</t>
  </si>
  <si>
    <t xml:space="preserve">      53100 Caring committee</t>
  </si>
  <si>
    <t xml:space="preserve">      53200 Membership Outreach</t>
  </si>
  <si>
    <t xml:space="preserve">      53300 Stewardship Campaign</t>
  </si>
  <si>
    <t xml:space="preserve">      53400 Fellowship</t>
  </si>
  <si>
    <t xml:space="preserve">   Total 53000 Membership</t>
  </si>
  <si>
    <t xml:space="preserve">   55000 Leader Development</t>
  </si>
  <si>
    <t xml:space="preserve">   56000 Board Discretionary</t>
  </si>
  <si>
    <t xml:space="preserve">   57000 Technology</t>
  </si>
  <si>
    <t xml:space="preserve">   64000 Music</t>
  </si>
  <si>
    <t xml:space="preserve">      64100 Piano Tuning</t>
  </si>
  <si>
    <t xml:space="preserve">      64300 Guest Musicians</t>
  </si>
  <si>
    <t xml:space="preserve">   Total 64000 Music</t>
  </si>
  <si>
    <t xml:space="preserve">   65000 Green Sanctuary</t>
  </si>
  <si>
    <t xml:space="preserve">   66000 Religious Education</t>
  </si>
  <si>
    <t xml:space="preserve">      66500 Adult Programs</t>
  </si>
  <si>
    <t xml:space="preserve">   Total 66000 Religious Education</t>
  </si>
  <si>
    <t xml:space="preserve">   69000 Social Justice</t>
  </si>
  <si>
    <t xml:space="preserve">   70000 Rainbow Alliance</t>
  </si>
  <si>
    <t xml:space="preserve">   71000 Worship</t>
  </si>
  <si>
    <t xml:space="preserve">      71100 Summer Worship</t>
  </si>
  <si>
    <t xml:space="preserve">      71200 Guest Speakers</t>
  </si>
  <si>
    <t xml:space="preserve">   Total 71000 Worship</t>
  </si>
  <si>
    <t xml:space="preserve">   73000 Social Coffee Hour</t>
  </si>
  <si>
    <t xml:space="preserve">   75000 CUUPS</t>
  </si>
  <si>
    <t xml:space="preserve">   83000 Dues, denomination</t>
  </si>
  <si>
    <t xml:space="preserve">   86000 Renovation Expense</t>
  </si>
  <si>
    <t xml:space="preserve">      88601 Visions Bank Loan</t>
  </si>
  <si>
    <t xml:space="preserve">      88602 Endowment Loan Interest</t>
  </si>
  <si>
    <t xml:space="preserve">   Total 86000 Renovation Expense</t>
  </si>
  <si>
    <t xml:space="preserve">   Uncategorized Expense</t>
  </si>
  <si>
    <t>Total Expenditures</t>
  </si>
  <si>
    <t>Net Operating Revenue</t>
  </si>
  <si>
    <t>Net Revenue</t>
  </si>
  <si>
    <t>Sunday, May 12, 2024 02:11:56 PM GMT-7 - Cash Basis</t>
  </si>
  <si>
    <t>Unitarian Universalist Congregation Binghamton NY</t>
  </si>
  <si>
    <t>Budget vs. Actuals 2023-2024</t>
  </si>
  <si>
    <t>July 2023 - June 2024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</si>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</sst>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4" fontId="3" fillId="0" borderId="11" xfId="0" applyNumberFormat="1" applyFont="1" applyBorder="1" applyAlignment="1">
      <alignment wrapText="1"/>
    </xf>
    <xf numFmtId="10" fontId="3" fillId="0" borderId="11" xfId="0" applyNumberFormat="1" applyFont="1" applyBorder="1" applyAlignment="1">
      <alignment horizontal="right" wrapText="1"/>
    </xf>
    <xf numFmtId="10" fontId="2" fillId="0" borderId="13" xfId="0" applyNumberFormat="1" applyFont="1" applyBorder="1" applyAlignment="1">
      <alignment horizontal="right" wrapText="1"/>
    </xf>
    <xf numFmtId="165" fontId="2" fillId="0" borderId="15" xfId="0" applyNumberFormat="1" applyFont="1" applyBorder="1" applyAlignment="1">
      <alignment horizontal="right" wrapText="1"/>
    </xf>
    <xf numFmtId="10" fontId="2" fillId="0" borderId="16" xfId="0" applyNumberFormat="1" applyFont="1" applyBorder="1" applyAlignment="1">
      <alignment horizontal="right" wrapText="1"/>
    </xf>
    <xf numFmtId="0" fontId="1" fillId="2" borderId="8" xfId="0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wrapText="1"/>
    </xf>
    <xf numFmtId="164" fontId="3" fillId="2" borderId="10" xfId="0" applyNumberFormat="1" applyFont="1" applyFill="1" applyBorder="1" applyAlignment="1">
      <alignment horizontal="right" wrapText="1"/>
    </xf>
    <xf numFmtId="165" fontId="2" fillId="2" borderId="12" xfId="0" applyNumberFormat="1" applyFont="1" applyFill="1" applyBorder="1" applyAlignment="1">
      <alignment horizontal="right" wrapText="1"/>
    </xf>
    <xf numFmtId="165" fontId="2" fillId="2" borderId="14" xfId="0" applyNumberFormat="1" applyFont="1" applyFill="1" applyBorder="1" applyAlignment="1">
      <alignment horizontal="right" wrapText="1"/>
    </xf>
    <xf numFmtId="4" fontId="0" fillId="0" borderId="0" xfId="0" applyNumberFormat="1"/>
    <xf numFmtId="44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0"/>
  <sheetViews>
    <sheetView tabSelected="1" topLeftCell="A5" workbookViewId="0">
      <pane xSplit="1" ySplit="2" topLeftCell="B7" activePane="bottomRight" state="frozen"/>
      <selection activeCell="A5" sqref="A5"/>
      <selection pane="topRight" activeCell="B5" sqref="B5"/>
      <selection pane="bottomLeft" activeCell="A7" sqref="A7"/>
      <selection pane="bottomRight" activeCell="AM25" sqref="AM25"/>
    </sheetView>
  </sheetViews>
  <sheetFormatPr defaultRowHeight="15" x14ac:dyDescent="0.25"/>
  <cols>
    <col min="1" max="1" width="40.42578125" customWidth="1"/>
    <col min="2" max="2" width="9.42578125" customWidth="1"/>
    <col min="3" max="5" width="9.42578125" hidden="1" customWidth="1"/>
    <col min="6" max="6" width="9.42578125" customWidth="1"/>
    <col min="7" max="8" width="9.42578125" hidden="1" customWidth="1"/>
    <col min="9" max="9" width="10.28515625" hidden="1" customWidth="1"/>
    <col min="10" max="10" width="9.42578125" customWidth="1"/>
    <col min="11" max="12" width="9.42578125" hidden="1" customWidth="1"/>
    <col min="13" max="13" width="10.28515625" hidden="1" customWidth="1"/>
    <col min="14" max="14" width="10.28515625" customWidth="1"/>
    <col min="15" max="15" width="9.42578125" hidden="1" customWidth="1"/>
    <col min="16" max="17" width="10.28515625" hidden="1" customWidth="1"/>
    <col min="18" max="18" width="9.42578125" customWidth="1"/>
    <col min="19" max="19" width="9.42578125" hidden="1" customWidth="1"/>
    <col min="20" max="20" width="10.28515625" hidden="1" customWidth="1"/>
    <col min="21" max="21" width="8.5703125" hidden="1" customWidth="1"/>
    <col min="22" max="22" width="9.42578125" customWidth="1"/>
    <col min="23" max="25" width="9.42578125" hidden="1" customWidth="1"/>
    <col min="26" max="26" width="9.42578125" customWidth="1"/>
    <col min="27" max="27" width="9.42578125" hidden="1" customWidth="1"/>
    <col min="28" max="28" width="8.5703125" hidden="1" customWidth="1"/>
    <col min="29" max="29" width="9.42578125" hidden="1" customWidth="1"/>
    <col min="30" max="30" width="10.28515625" customWidth="1"/>
    <col min="31" max="31" width="9.42578125" hidden="1" customWidth="1"/>
    <col min="32" max="33" width="10.28515625" hidden="1" customWidth="1"/>
    <col min="34" max="34" width="10.28515625" customWidth="1"/>
    <col min="35" max="35" width="9.42578125" hidden="1" customWidth="1"/>
    <col min="36" max="37" width="10.28515625" hidden="1" customWidth="1"/>
    <col min="38" max="39" width="9.42578125" customWidth="1"/>
    <col min="40" max="40" width="9.42578125" hidden="1" customWidth="1"/>
    <col min="41" max="41" width="7.85546875" hidden="1" customWidth="1"/>
    <col min="42" max="42" width="8.5703125" hidden="1" customWidth="1"/>
    <col min="43" max="43" width="9.42578125" hidden="1" customWidth="1"/>
    <col min="44" max="44" width="11.140625" hidden="1" customWidth="1"/>
    <col min="45" max="45" width="8.5703125" hidden="1" customWidth="1"/>
    <col min="46" max="46" width="7.7109375" hidden="1" customWidth="1"/>
    <col min="47" max="47" width="9.42578125" hidden="1" customWidth="1"/>
    <col min="48" max="48" width="11.140625" hidden="1" customWidth="1"/>
    <col min="49" max="49" width="6.7109375" hidden="1" customWidth="1"/>
    <col min="50" max="51" width="10.28515625" customWidth="1"/>
    <col min="52" max="52" width="11.140625" hidden="1" customWidth="1"/>
    <col min="53" max="53" width="9.42578125" customWidth="1"/>
    <col min="54" max="54" width="12.5703125" bestFit="1" customWidth="1"/>
  </cols>
  <sheetData>
    <row r="1" spans="1:54" ht="18" x14ac:dyDescent="0.25">
      <c r="A1" s="32" t="s">
        <v>106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</row>
    <row r="2" spans="1:54" ht="18" x14ac:dyDescent="0.25">
      <c r="A2" s="32" t="s">
        <v>107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</row>
    <row r="3" spans="1:54" x14ac:dyDescent="0.25">
      <c r="A3" s="33" t="s">
        <v>108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</row>
    <row r="4" spans="1:54" ht="15.75" thickBot="1" x14ac:dyDescent="0.3"/>
    <row r="5" spans="1:54" x14ac:dyDescent="0.25">
      <c r="A5" s="1"/>
      <c r="B5" s="34" t="s">
        <v>0</v>
      </c>
      <c r="C5" s="26"/>
      <c r="D5" s="26"/>
      <c r="E5" s="26"/>
      <c r="F5" s="34" t="s">
        <v>1</v>
      </c>
      <c r="G5" s="26"/>
      <c r="H5" s="26"/>
      <c r="I5" s="26"/>
      <c r="J5" s="34" t="s">
        <v>2</v>
      </c>
      <c r="K5" s="26"/>
      <c r="L5" s="26"/>
      <c r="M5" s="26"/>
      <c r="N5" s="34" t="s">
        <v>3</v>
      </c>
      <c r="O5" s="26"/>
      <c r="P5" s="26"/>
      <c r="Q5" s="26"/>
      <c r="R5" s="34" t="s">
        <v>4</v>
      </c>
      <c r="S5" s="26"/>
      <c r="T5" s="26"/>
      <c r="U5" s="26"/>
      <c r="V5" s="34" t="s">
        <v>5</v>
      </c>
      <c r="W5" s="26"/>
      <c r="X5" s="26"/>
      <c r="Y5" s="26"/>
      <c r="Z5" s="34" t="s">
        <v>6</v>
      </c>
      <c r="AA5" s="26"/>
      <c r="AB5" s="26"/>
      <c r="AC5" s="26"/>
      <c r="AD5" s="34" t="s">
        <v>7</v>
      </c>
      <c r="AE5" s="26"/>
      <c r="AF5" s="26"/>
      <c r="AG5" s="26"/>
      <c r="AH5" s="34" t="s">
        <v>8</v>
      </c>
      <c r="AI5" s="26"/>
      <c r="AJ5" s="26"/>
      <c r="AK5" s="26"/>
      <c r="AL5" s="34" t="s">
        <v>9</v>
      </c>
      <c r="AM5" s="26"/>
      <c r="AN5" s="26"/>
      <c r="AO5" s="26"/>
      <c r="AP5" s="25" t="s">
        <v>10</v>
      </c>
      <c r="AQ5" s="26"/>
      <c r="AR5" s="26"/>
      <c r="AS5" s="26"/>
      <c r="AT5" s="25" t="s">
        <v>11</v>
      </c>
      <c r="AU5" s="26"/>
      <c r="AV5" s="26"/>
      <c r="AW5" s="26"/>
      <c r="AX5" s="27" t="s">
        <v>12</v>
      </c>
      <c r="AY5" s="28"/>
      <c r="AZ5" s="28"/>
      <c r="BA5" s="29"/>
    </row>
    <row r="6" spans="1:54" ht="24.75" x14ac:dyDescent="0.25">
      <c r="A6" s="1"/>
      <c r="B6" s="2" t="s">
        <v>13</v>
      </c>
      <c r="C6" s="2" t="s">
        <v>14</v>
      </c>
      <c r="D6" s="2" t="s">
        <v>15</v>
      </c>
      <c r="E6" s="2" t="s">
        <v>16</v>
      </c>
      <c r="F6" s="2" t="s">
        <v>13</v>
      </c>
      <c r="G6" s="2" t="s">
        <v>14</v>
      </c>
      <c r="H6" s="2" t="s">
        <v>15</v>
      </c>
      <c r="I6" s="2" t="s">
        <v>16</v>
      </c>
      <c r="J6" s="2" t="s">
        <v>13</v>
      </c>
      <c r="K6" s="2" t="s">
        <v>14</v>
      </c>
      <c r="L6" s="2" t="s">
        <v>15</v>
      </c>
      <c r="M6" s="2" t="s">
        <v>16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13</v>
      </c>
      <c r="S6" s="2" t="s">
        <v>14</v>
      </c>
      <c r="T6" s="2" t="s">
        <v>15</v>
      </c>
      <c r="U6" s="2" t="s">
        <v>16</v>
      </c>
      <c r="V6" s="2" t="s">
        <v>13</v>
      </c>
      <c r="W6" s="2" t="s">
        <v>14</v>
      </c>
      <c r="X6" s="2" t="s">
        <v>15</v>
      </c>
      <c r="Y6" s="2" t="s">
        <v>16</v>
      </c>
      <c r="Z6" s="2" t="s">
        <v>13</v>
      </c>
      <c r="AA6" s="2" t="s">
        <v>14</v>
      </c>
      <c r="AB6" s="2" t="s">
        <v>15</v>
      </c>
      <c r="AC6" s="2" t="s">
        <v>16</v>
      </c>
      <c r="AD6" s="2" t="s">
        <v>13</v>
      </c>
      <c r="AE6" s="2" t="s">
        <v>14</v>
      </c>
      <c r="AF6" s="2" t="s">
        <v>15</v>
      </c>
      <c r="AG6" s="2" t="s">
        <v>16</v>
      </c>
      <c r="AH6" s="2" t="s">
        <v>13</v>
      </c>
      <c r="AI6" s="2" t="s">
        <v>14</v>
      </c>
      <c r="AJ6" s="2" t="s">
        <v>15</v>
      </c>
      <c r="AK6" s="2" t="s">
        <v>16</v>
      </c>
      <c r="AL6" s="2" t="s">
        <v>13</v>
      </c>
      <c r="AM6" s="11" t="s">
        <v>14</v>
      </c>
      <c r="AN6" s="11" t="s">
        <v>15</v>
      </c>
      <c r="AO6" s="11" t="s">
        <v>16</v>
      </c>
      <c r="AP6" s="11" t="s">
        <v>13</v>
      </c>
      <c r="AQ6" s="11" t="s">
        <v>14</v>
      </c>
      <c r="AR6" s="11" t="s">
        <v>15</v>
      </c>
      <c r="AS6" s="11" t="s">
        <v>16</v>
      </c>
      <c r="AT6" s="11" t="s">
        <v>13</v>
      </c>
      <c r="AU6" s="11" t="s">
        <v>14</v>
      </c>
      <c r="AV6" s="11" t="s">
        <v>15</v>
      </c>
      <c r="AW6" s="11" t="s">
        <v>16</v>
      </c>
      <c r="AX6" s="18" t="s">
        <v>13</v>
      </c>
      <c r="AY6" s="11" t="s">
        <v>14</v>
      </c>
      <c r="AZ6" s="11" t="s">
        <v>15</v>
      </c>
      <c r="BA6" s="12" t="s">
        <v>16</v>
      </c>
    </row>
    <row r="7" spans="1:54" x14ac:dyDescent="0.25">
      <c r="A7" s="3" t="s">
        <v>17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19"/>
      <c r="AY7" s="4"/>
      <c r="AZ7" s="4"/>
      <c r="BA7" s="13"/>
    </row>
    <row r="8" spans="1:54" x14ac:dyDescent="0.25">
      <c r="A8" s="3" t="s">
        <v>18</v>
      </c>
      <c r="B8" s="5">
        <f>49607.94</f>
        <v>49607.94</v>
      </c>
      <c r="C8" s="5">
        <f>19660.17</f>
        <v>19660.169999999998</v>
      </c>
      <c r="D8" s="5">
        <f t="shared" ref="D8:D18" si="0">(B8)-(C8)</f>
        <v>29947.770000000004</v>
      </c>
      <c r="E8" s="6">
        <f t="shared" ref="E8:E18" si="1">IF(C8=0,"",(B8)/(C8))</f>
        <v>2.523271161948244</v>
      </c>
      <c r="F8" s="5">
        <f>31721</f>
        <v>31721</v>
      </c>
      <c r="G8" s="5">
        <f>19660.17</f>
        <v>19660.169999999998</v>
      </c>
      <c r="H8" s="5">
        <f t="shared" ref="H8:H18" si="2">(F8)-(G8)</f>
        <v>12060.830000000002</v>
      </c>
      <c r="I8" s="6">
        <f t="shared" ref="I8:I18" si="3">IF(G8=0,"",(F8)/(G8))</f>
        <v>1.6134651938411522</v>
      </c>
      <c r="J8" s="5">
        <f>20402.75</f>
        <v>20402.75</v>
      </c>
      <c r="K8" s="5">
        <f>19660.17</f>
        <v>19660.169999999998</v>
      </c>
      <c r="L8" s="5">
        <f t="shared" ref="L8:L18" si="4">(J8)-(K8)</f>
        <v>742.58000000000175</v>
      </c>
      <c r="M8" s="6">
        <f t="shared" ref="M8:M18" si="5">IF(K8=0,"",(J8)/(K8))</f>
        <v>1.0377707822465423</v>
      </c>
      <c r="N8" s="5">
        <f>16840</f>
        <v>16840</v>
      </c>
      <c r="O8" s="5">
        <f>19660.17</f>
        <v>19660.169999999998</v>
      </c>
      <c r="P8" s="5">
        <f t="shared" ref="P8:P18" si="6">(N8)-(O8)</f>
        <v>-2820.1699999999983</v>
      </c>
      <c r="Q8" s="6">
        <f t="shared" ref="Q8:Q18" si="7">IF(O8=0,"",(N8)/(O8))</f>
        <v>0.85655413966410265</v>
      </c>
      <c r="R8" s="5">
        <f>17406</f>
        <v>17406</v>
      </c>
      <c r="S8" s="5">
        <f>19660.17</f>
        <v>19660.169999999998</v>
      </c>
      <c r="T8" s="5">
        <f t="shared" ref="T8:T18" si="8">(R8)-(S8)</f>
        <v>-2254.1699999999983</v>
      </c>
      <c r="U8" s="6">
        <f t="shared" ref="U8:U18" si="9">IF(S8=0,"",(R8)/(S8))</f>
        <v>0.88534331086658968</v>
      </c>
      <c r="V8" s="5">
        <f>20550.75</f>
        <v>20550.75</v>
      </c>
      <c r="W8" s="5">
        <f>19660.17</f>
        <v>19660.169999999998</v>
      </c>
      <c r="X8" s="5">
        <f t="shared" ref="X8:X18" si="10">(V8)-(W8)</f>
        <v>890.58000000000175</v>
      </c>
      <c r="Y8" s="6">
        <f t="shared" ref="Y8:Y18" si="11">IF(W8=0,"",(V8)/(W8))</f>
        <v>1.045298692737652</v>
      </c>
      <c r="Z8" s="5">
        <f>24717</f>
        <v>24717</v>
      </c>
      <c r="AA8" s="5">
        <f>19660.17</f>
        <v>19660.169999999998</v>
      </c>
      <c r="AB8" s="5">
        <f t="shared" ref="AB8:AB18" si="12">(Z8)-(AA8)</f>
        <v>5056.8300000000017</v>
      </c>
      <c r="AC8" s="6">
        <f t="shared" ref="AC8:AC18" si="13">IF(AA8=0,"",(Z8)/(AA8))</f>
        <v>1.2572119162753934</v>
      </c>
      <c r="AD8" s="5">
        <f>8416</f>
        <v>8416</v>
      </c>
      <c r="AE8" s="5">
        <f>19660.17</f>
        <v>19660.169999999998</v>
      </c>
      <c r="AF8" s="5">
        <f t="shared" ref="AF8:AF18" si="14">(AD8)-(AE8)</f>
        <v>-11244.169999999998</v>
      </c>
      <c r="AG8" s="6">
        <f t="shared" ref="AG8:AG18" si="15">IF(AE8=0,"",(AD8)/(AE8))</f>
        <v>0.4280736127917511</v>
      </c>
      <c r="AH8" s="5">
        <f>6819.75</f>
        <v>6819.75</v>
      </c>
      <c r="AI8" s="5">
        <f>19660.17</f>
        <v>19660.169999999998</v>
      </c>
      <c r="AJ8" s="5">
        <f t="shared" ref="AJ8:AJ18" si="16">(AH8)-(AI8)</f>
        <v>-12840.419999999998</v>
      </c>
      <c r="AK8" s="6">
        <f t="shared" ref="AK8:AK18" si="17">IF(AI8=0,"",(AH8)/(AI8))</f>
        <v>0.34688153764692781</v>
      </c>
      <c r="AL8" s="5">
        <f>16830</f>
        <v>16830</v>
      </c>
      <c r="AM8" s="5">
        <f>19660.17</f>
        <v>19660.169999999998</v>
      </c>
      <c r="AN8" s="5">
        <f t="shared" ref="AN8:AN18" si="18">(AL8)-(AM8)</f>
        <v>-2830.1699999999983</v>
      </c>
      <c r="AO8" s="6">
        <f t="shared" ref="AO8:AO18" si="19">IF(AM8=0,"",(AL8)/(AM8))</f>
        <v>0.85604549706335198</v>
      </c>
      <c r="AP8" s="5"/>
      <c r="AQ8" s="5">
        <f>19660.17</f>
        <v>19660.169999999998</v>
      </c>
      <c r="AR8" s="5">
        <f t="shared" ref="AR8:AR18" si="20">(AP8)-(AQ8)</f>
        <v>-19660.169999999998</v>
      </c>
      <c r="AS8" s="6">
        <f t="shared" ref="AS8:AS18" si="21">IF(AQ8=0,"",(AP8)/(AQ8))</f>
        <v>0</v>
      </c>
      <c r="AT8" s="4"/>
      <c r="AU8" s="5">
        <f>19660.13</f>
        <v>19660.13</v>
      </c>
      <c r="AV8" s="5">
        <f t="shared" ref="AV8:AV18" si="22">(AT8)-(AU8)</f>
        <v>-19660.13</v>
      </c>
      <c r="AW8" s="6">
        <f t="shared" ref="AW8:AW18" si="23">IF(AU8=0,"",(AT8)/(AU8))</f>
        <v>0</v>
      </c>
      <c r="AX8" s="20">
        <f t="shared" ref="AX8:AX18" si="24">(((((((((((B8)+(F8))+(J8))+(N8))+(R8))+(V8))+(Z8))+(AD8))+(AH8))+(AL8))+(AP8))+(AT8)</f>
        <v>213311.19</v>
      </c>
      <c r="AY8" s="5">
        <f t="shared" ref="AY8:AY18" si="25">(((((((((((C8)+(G8))+(K8))+(O8))+(S8))+(W8))+(AA8))+(AE8))+(AI8))+(AM8))+(AQ8))+(AU8)</f>
        <v>235921.99999999994</v>
      </c>
      <c r="AZ8" s="5">
        <f t="shared" ref="AZ8:AZ18" si="26">(AX8)-(AY8)</f>
        <v>-22610.809999999939</v>
      </c>
      <c r="BA8" s="14">
        <f t="shared" ref="BA8:BA18" si="27">IF(AY8=0,"",(AX8)/(AY8))</f>
        <v>0.90415980705487431</v>
      </c>
    </row>
    <row r="9" spans="1:54" x14ac:dyDescent="0.25">
      <c r="A9" s="3" t="s">
        <v>19</v>
      </c>
      <c r="B9" s="5">
        <f>380</f>
        <v>380</v>
      </c>
      <c r="C9" s="5">
        <f>270.08</f>
        <v>270.08</v>
      </c>
      <c r="D9" s="5">
        <f t="shared" si="0"/>
        <v>109.92000000000002</v>
      </c>
      <c r="E9" s="6">
        <f t="shared" si="1"/>
        <v>1.4069905213270144</v>
      </c>
      <c r="F9" s="5">
        <f>933</f>
        <v>933</v>
      </c>
      <c r="G9" s="5">
        <f>270.08</f>
        <v>270.08</v>
      </c>
      <c r="H9" s="5">
        <f t="shared" si="2"/>
        <v>662.92000000000007</v>
      </c>
      <c r="I9" s="6">
        <f t="shared" si="3"/>
        <v>3.4545319905213274</v>
      </c>
      <c r="J9" s="5">
        <f>20588</f>
        <v>20588</v>
      </c>
      <c r="K9" s="5">
        <f>270.08</f>
        <v>270.08</v>
      </c>
      <c r="L9" s="5">
        <f t="shared" si="4"/>
        <v>20317.919999999998</v>
      </c>
      <c r="M9" s="6">
        <f t="shared" si="5"/>
        <v>76.229265402843609</v>
      </c>
      <c r="N9" s="5">
        <f>312.22</f>
        <v>312.22000000000003</v>
      </c>
      <c r="O9" s="5">
        <f>270.08</f>
        <v>270.08</v>
      </c>
      <c r="P9" s="5">
        <f t="shared" si="6"/>
        <v>42.140000000000043</v>
      </c>
      <c r="Q9" s="6">
        <f t="shared" si="7"/>
        <v>1.1560278436018958</v>
      </c>
      <c r="R9" s="5">
        <f>417.8</f>
        <v>417.8</v>
      </c>
      <c r="S9" s="5">
        <f>270.08</f>
        <v>270.08</v>
      </c>
      <c r="T9" s="5">
        <f t="shared" si="8"/>
        <v>147.72000000000003</v>
      </c>
      <c r="U9" s="6">
        <f t="shared" si="9"/>
        <v>1.5469490521327016</v>
      </c>
      <c r="V9" s="5">
        <f>1748</f>
        <v>1748</v>
      </c>
      <c r="W9" s="5">
        <f>270.08</f>
        <v>270.08</v>
      </c>
      <c r="X9" s="5">
        <f t="shared" si="10"/>
        <v>1477.92</v>
      </c>
      <c r="Y9" s="6">
        <f t="shared" si="11"/>
        <v>6.472156398104266</v>
      </c>
      <c r="Z9" s="5">
        <f>669</f>
        <v>669</v>
      </c>
      <c r="AA9" s="5">
        <f>270.08</f>
        <v>270.08</v>
      </c>
      <c r="AB9" s="5">
        <f t="shared" si="12"/>
        <v>398.92</v>
      </c>
      <c r="AC9" s="6">
        <f t="shared" si="13"/>
        <v>2.4770438388625595</v>
      </c>
      <c r="AD9" s="5">
        <f>1073.1</f>
        <v>1073.0999999999999</v>
      </c>
      <c r="AE9" s="5">
        <f>270.08</f>
        <v>270.08</v>
      </c>
      <c r="AF9" s="5">
        <f t="shared" si="14"/>
        <v>803.02</v>
      </c>
      <c r="AG9" s="6">
        <f t="shared" si="15"/>
        <v>3.9732671800947865</v>
      </c>
      <c r="AH9" s="5">
        <f>782.85</f>
        <v>782.85</v>
      </c>
      <c r="AI9" s="5">
        <f>270.08</f>
        <v>270.08</v>
      </c>
      <c r="AJ9" s="5">
        <f t="shared" si="16"/>
        <v>512.77</v>
      </c>
      <c r="AK9" s="6">
        <f t="shared" si="17"/>
        <v>2.8985856042654032</v>
      </c>
      <c r="AL9" s="5">
        <f>1122.78</f>
        <v>1122.78</v>
      </c>
      <c r="AM9" s="5">
        <f>270.08</f>
        <v>270.08</v>
      </c>
      <c r="AN9" s="5">
        <f t="shared" si="18"/>
        <v>852.7</v>
      </c>
      <c r="AO9" s="6">
        <f t="shared" si="19"/>
        <v>4.157212677725119</v>
      </c>
      <c r="AP9" s="5"/>
      <c r="AQ9" s="5">
        <f>270.08</f>
        <v>270.08</v>
      </c>
      <c r="AR9" s="5">
        <f t="shared" si="20"/>
        <v>-270.08</v>
      </c>
      <c r="AS9" s="6">
        <f t="shared" si="21"/>
        <v>0</v>
      </c>
      <c r="AT9" s="4"/>
      <c r="AU9" s="5">
        <f>270.12</f>
        <v>270.12</v>
      </c>
      <c r="AV9" s="5">
        <f t="shared" si="22"/>
        <v>-270.12</v>
      </c>
      <c r="AW9" s="6">
        <f t="shared" si="23"/>
        <v>0</v>
      </c>
      <c r="AX9" s="20">
        <f t="shared" si="24"/>
        <v>28026.749999999996</v>
      </c>
      <c r="AY9" s="5">
        <f t="shared" si="25"/>
        <v>3240.9999999999995</v>
      </c>
      <c r="AZ9" s="5">
        <f t="shared" si="26"/>
        <v>24785.749999999996</v>
      </c>
      <c r="BA9" s="14">
        <f t="shared" si="27"/>
        <v>8.6475624807158287</v>
      </c>
      <c r="BB9" t="s">
        <v>109</v>
      </c>
    </row>
    <row r="10" spans="1:54" x14ac:dyDescent="0.25">
      <c r="A10" s="3" t="s">
        <v>20</v>
      </c>
      <c r="B10" s="5">
        <f>436.3</f>
        <v>436.3</v>
      </c>
      <c r="C10" s="5">
        <f>1000</f>
        <v>1000</v>
      </c>
      <c r="D10" s="5">
        <f t="shared" si="0"/>
        <v>-563.70000000000005</v>
      </c>
      <c r="E10" s="6">
        <f t="shared" si="1"/>
        <v>0.43630000000000002</v>
      </c>
      <c r="F10" s="5">
        <f>3562.69</f>
        <v>3562.69</v>
      </c>
      <c r="G10" s="5">
        <f>1000</f>
        <v>1000</v>
      </c>
      <c r="H10" s="5">
        <f t="shared" si="2"/>
        <v>2562.69</v>
      </c>
      <c r="I10" s="6">
        <f t="shared" si="3"/>
        <v>3.5626899999999999</v>
      </c>
      <c r="J10" s="5">
        <f>128</f>
        <v>128</v>
      </c>
      <c r="K10" s="5">
        <f>1000</f>
        <v>1000</v>
      </c>
      <c r="L10" s="5">
        <f t="shared" si="4"/>
        <v>-872</v>
      </c>
      <c r="M10" s="6">
        <f t="shared" si="5"/>
        <v>0.128</v>
      </c>
      <c r="N10" s="5">
        <f>192.5</f>
        <v>192.5</v>
      </c>
      <c r="O10" s="5">
        <f>1000</f>
        <v>1000</v>
      </c>
      <c r="P10" s="5">
        <f t="shared" si="6"/>
        <v>-807.5</v>
      </c>
      <c r="Q10" s="6">
        <f t="shared" si="7"/>
        <v>0.1925</v>
      </c>
      <c r="R10" s="5">
        <f>751.75</f>
        <v>751.75</v>
      </c>
      <c r="S10" s="5">
        <f>1000</f>
        <v>1000</v>
      </c>
      <c r="T10" s="5">
        <f t="shared" si="8"/>
        <v>-248.25</v>
      </c>
      <c r="U10" s="6">
        <f t="shared" si="9"/>
        <v>0.75175000000000003</v>
      </c>
      <c r="V10" s="5">
        <f>20469.47</f>
        <v>20469.47</v>
      </c>
      <c r="W10" s="5">
        <f>1000</f>
        <v>1000</v>
      </c>
      <c r="X10" s="5">
        <f t="shared" si="10"/>
        <v>19469.47</v>
      </c>
      <c r="Y10" s="6">
        <f t="shared" si="11"/>
        <v>20.469470000000001</v>
      </c>
      <c r="Z10" s="5">
        <f>418.11</f>
        <v>418.11</v>
      </c>
      <c r="AA10" s="5">
        <f>1000</f>
        <v>1000</v>
      </c>
      <c r="AB10" s="5">
        <f t="shared" si="12"/>
        <v>-581.89</v>
      </c>
      <c r="AC10" s="6">
        <f t="shared" si="13"/>
        <v>0.41811000000000004</v>
      </c>
      <c r="AD10" s="5">
        <f>454.74</f>
        <v>454.74</v>
      </c>
      <c r="AE10" s="5">
        <f>1000</f>
        <v>1000</v>
      </c>
      <c r="AF10" s="5">
        <f t="shared" si="14"/>
        <v>-545.26</v>
      </c>
      <c r="AG10" s="6">
        <f t="shared" si="15"/>
        <v>0.45474000000000003</v>
      </c>
      <c r="AH10" s="5">
        <f>600.4</f>
        <v>600.4</v>
      </c>
      <c r="AI10" s="5">
        <f>1000</f>
        <v>1000</v>
      </c>
      <c r="AJ10" s="5">
        <f t="shared" si="16"/>
        <v>-399.6</v>
      </c>
      <c r="AK10" s="6">
        <f t="shared" si="17"/>
        <v>0.60039999999999993</v>
      </c>
      <c r="AL10" s="5">
        <f>2438</f>
        <v>2438</v>
      </c>
      <c r="AM10" s="5">
        <f>1000</f>
        <v>1000</v>
      </c>
      <c r="AN10" s="5">
        <f t="shared" si="18"/>
        <v>1438</v>
      </c>
      <c r="AO10" s="6">
        <f t="shared" si="19"/>
        <v>2.4380000000000002</v>
      </c>
      <c r="AP10" s="5"/>
      <c r="AQ10" s="5">
        <f>1000</f>
        <v>1000</v>
      </c>
      <c r="AR10" s="5">
        <f t="shared" si="20"/>
        <v>-1000</v>
      </c>
      <c r="AS10" s="6">
        <f t="shared" si="21"/>
        <v>0</v>
      </c>
      <c r="AT10" s="4"/>
      <c r="AU10" s="5">
        <f>1000</f>
        <v>1000</v>
      </c>
      <c r="AV10" s="5">
        <f t="shared" si="22"/>
        <v>-1000</v>
      </c>
      <c r="AW10" s="6">
        <f t="shared" si="23"/>
        <v>0</v>
      </c>
      <c r="AX10" s="20">
        <f t="shared" si="24"/>
        <v>29451.960000000003</v>
      </c>
      <c r="AY10" s="5">
        <f t="shared" si="25"/>
        <v>12000</v>
      </c>
      <c r="AZ10" s="5">
        <f t="shared" si="26"/>
        <v>17451.960000000003</v>
      </c>
      <c r="BA10" s="14">
        <f t="shared" si="27"/>
        <v>2.4543300000000001</v>
      </c>
      <c r="BB10" s="23">
        <f>AX10-AX58</f>
        <v>13925.340000000004</v>
      </c>
    </row>
    <row r="11" spans="1:54" x14ac:dyDescent="0.25">
      <c r="A11" s="3" t="s">
        <v>21</v>
      </c>
      <c r="B11" s="5">
        <f>46.4</f>
        <v>46.4</v>
      </c>
      <c r="C11" s="5">
        <f>42.67</f>
        <v>42.67</v>
      </c>
      <c r="D11" s="5">
        <f t="shared" si="0"/>
        <v>3.7299999999999969</v>
      </c>
      <c r="E11" s="6">
        <f t="shared" si="1"/>
        <v>1.0874150456995546</v>
      </c>
      <c r="F11" s="5">
        <f>49.2</f>
        <v>49.2</v>
      </c>
      <c r="G11" s="5">
        <f>42.67</f>
        <v>42.67</v>
      </c>
      <c r="H11" s="5">
        <f t="shared" si="2"/>
        <v>6.5300000000000011</v>
      </c>
      <c r="I11" s="6">
        <f t="shared" si="3"/>
        <v>1.1530349191469416</v>
      </c>
      <c r="J11" s="5">
        <f>647.71</f>
        <v>647.71</v>
      </c>
      <c r="K11" s="5">
        <f>42.67</f>
        <v>42.67</v>
      </c>
      <c r="L11" s="5">
        <f t="shared" si="4"/>
        <v>605.04000000000008</v>
      </c>
      <c r="M11" s="6">
        <f t="shared" si="5"/>
        <v>15.179517225216781</v>
      </c>
      <c r="N11" s="5">
        <f>59.8</f>
        <v>59.8</v>
      </c>
      <c r="O11" s="5">
        <f>42.67</f>
        <v>42.67</v>
      </c>
      <c r="P11" s="5">
        <f t="shared" si="6"/>
        <v>17.129999999999995</v>
      </c>
      <c r="Q11" s="6">
        <f t="shared" si="7"/>
        <v>1.4014530114834778</v>
      </c>
      <c r="R11" s="5">
        <f>58.58</f>
        <v>58.58</v>
      </c>
      <c r="S11" s="5">
        <f>42.67</f>
        <v>42.67</v>
      </c>
      <c r="T11" s="5">
        <f t="shared" si="8"/>
        <v>15.909999999999997</v>
      </c>
      <c r="U11" s="6">
        <f t="shared" si="9"/>
        <v>1.3728614951956877</v>
      </c>
      <c r="V11" s="5">
        <f>676.63</f>
        <v>676.63</v>
      </c>
      <c r="W11" s="5">
        <f>42.67</f>
        <v>42.67</v>
      </c>
      <c r="X11" s="5">
        <f t="shared" si="10"/>
        <v>633.96</v>
      </c>
      <c r="Y11" s="6">
        <f t="shared" si="11"/>
        <v>15.857276775251933</v>
      </c>
      <c r="Z11" s="5">
        <f>65.2</f>
        <v>65.2</v>
      </c>
      <c r="AA11" s="5">
        <f>42.67</f>
        <v>42.67</v>
      </c>
      <c r="AB11" s="5">
        <f t="shared" si="12"/>
        <v>22.53</v>
      </c>
      <c r="AC11" s="6">
        <f t="shared" si="13"/>
        <v>1.5280056245605813</v>
      </c>
      <c r="AD11" s="5">
        <f>62.44</f>
        <v>62.44</v>
      </c>
      <c r="AE11" s="5">
        <f>42.67</f>
        <v>42.67</v>
      </c>
      <c r="AF11" s="5">
        <f t="shared" si="14"/>
        <v>19.769999999999996</v>
      </c>
      <c r="AG11" s="6">
        <f t="shared" si="15"/>
        <v>1.4633231778767282</v>
      </c>
      <c r="AH11" s="5">
        <f>681.49</f>
        <v>681.49</v>
      </c>
      <c r="AI11" s="5">
        <f>42.67</f>
        <v>42.67</v>
      </c>
      <c r="AJ11" s="5">
        <f t="shared" si="16"/>
        <v>638.82000000000005</v>
      </c>
      <c r="AK11" s="6">
        <f t="shared" si="17"/>
        <v>15.971174127021326</v>
      </c>
      <c r="AL11" s="5">
        <f>70.19</f>
        <v>70.19</v>
      </c>
      <c r="AM11" s="5">
        <f>42.67</f>
        <v>42.67</v>
      </c>
      <c r="AN11" s="5">
        <f t="shared" si="18"/>
        <v>27.519999999999996</v>
      </c>
      <c r="AO11" s="6">
        <f t="shared" si="19"/>
        <v>1.6449496133114598</v>
      </c>
      <c r="AP11" s="4"/>
      <c r="AQ11" s="5">
        <f>42.67</f>
        <v>42.67</v>
      </c>
      <c r="AR11" s="5">
        <f t="shared" si="20"/>
        <v>-42.67</v>
      </c>
      <c r="AS11" s="6">
        <f t="shared" si="21"/>
        <v>0</v>
      </c>
      <c r="AT11" s="4"/>
      <c r="AU11" s="5">
        <f>42.63</f>
        <v>42.63</v>
      </c>
      <c r="AV11" s="5">
        <f t="shared" si="22"/>
        <v>-42.63</v>
      </c>
      <c r="AW11" s="6">
        <f t="shared" si="23"/>
        <v>0</v>
      </c>
      <c r="AX11" s="20">
        <f t="shared" si="24"/>
        <v>2417.6400000000003</v>
      </c>
      <c r="AY11" s="5">
        <f t="shared" si="25"/>
        <v>512.00000000000011</v>
      </c>
      <c r="AZ11" s="5">
        <f t="shared" si="26"/>
        <v>1905.6400000000003</v>
      </c>
      <c r="BA11" s="14">
        <f t="shared" si="27"/>
        <v>4.7219531249999998</v>
      </c>
    </row>
    <row r="12" spans="1:54" x14ac:dyDescent="0.25">
      <c r="A12" s="3" t="s">
        <v>22</v>
      </c>
      <c r="B12" s="5">
        <f>100</f>
        <v>100</v>
      </c>
      <c r="C12" s="4"/>
      <c r="D12" s="5">
        <f t="shared" si="0"/>
        <v>100</v>
      </c>
      <c r="E12" s="6" t="str">
        <f t="shared" si="1"/>
        <v/>
      </c>
      <c r="F12" s="5">
        <f>300</f>
        <v>300</v>
      </c>
      <c r="G12" s="4"/>
      <c r="H12" s="5">
        <f t="shared" si="2"/>
        <v>300</v>
      </c>
      <c r="I12" s="6" t="str">
        <f t="shared" si="3"/>
        <v/>
      </c>
      <c r="J12" s="5">
        <f>50</f>
        <v>50</v>
      </c>
      <c r="K12" s="4"/>
      <c r="L12" s="5">
        <f t="shared" si="4"/>
        <v>50</v>
      </c>
      <c r="M12" s="6" t="str">
        <f t="shared" si="5"/>
        <v/>
      </c>
      <c r="N12" s="5">
        <f>800</f>
        <v>800</v>
      </c>
      <c r="O12" s="4"/>
      <c r="P12" s="5">
        <f t="shared" si="6"/>
        <v>800</v>
      </c>
      <c r="Q12" s="6" t="str">
        <f t="shared" si="7"/>
        <v/>
      </c>
      <c r="R12" s="5">
        <f>425</f>
        <v>425</v>
      </c>
      <c r="S12" s="4"/>
      <c r="T12" s="5">
        <f t="shared" si="8"/>
        <v>425</v>
      </c>
      <c r="U12" s="6" t="str">
        <f t="shared" si="9"/>
        <v/>
      </c>
      <c r="V12" s="5">
        <f>430</f>
        <v>430</v>
      </c>
      <c r="W12" s="4"/>
      <c r="X12" s="5">
        <f t="shared" si="10"/>
        <v>430</v>
      </c>
      <c r="Y12" s="6" t="str">
        <f t="shared" si="11"/>
        <v/>
      </c>
      <c r="Z12" s="5">
        <f>350</f>
        <v>350</v>
      </c>
      <c r="AA12" s="4"/>
      <c r="AB12" s="5">
        <f t="shared" si="12"/>
        <v>350</v>
      </c>
      <c r="AC12" s="6" t="str">
        <f t="shared" si="13"/>
        <v/>
      </c>
      <c r="AD12" s="5">
        <f>125</f>
        <v>125</v>
      </c>
      <c r="AE12" s="4"/>
      <c r="AF12" s="5">
        <f t="shared" si="14"/>
        <v>125</v>
      </c>
      <c r="AG12" s="6" t="str">
        <f t="shared" si="15"/>
        <v/>
      </c>
      <c r="AH12" s="5">
        <f>193</f>
        <v>193</v>
      </c>
      <c r="AI12" s="4"/>
      <c r="AJ12" s="5">
        <f t="shared" si="16"/>
        <v>193</v>
      </c>
      <c r="AK12" s="6" t="str">
        <f t="shared" si="17"/>
        <v/>
      </c>
      <c r="AL12" s="5">
        <f>781</f>
        <v>781</v>
      </c>
      <c r="AM12" s="4"/>
      <c r="AN12" s="5">
        <f t="shared" si="18"/>
        <v>781</v>
      </c>
      <c r="AO12" s="6" t="str">
        <f t="shared" si="19"/>
        <v/>
      </c>
      <c r="AP12" s="4"/>
      <c r="AQ12" s="4"/>
      <c r="AR12" s="5">
        <f t="shared" si="20"/>
        <v>0</v>
      </c>
      <c r="AS12" s="6" t="str">
        <f t="shared" si="21"/>
        <v/>
      </c>
      <c r="AT12" s="4"/>
      <c r="AU12" s="4"/>
      <c r="AV12" s="5">
        <f t="shared" si="22"/>
        <v>0</v>
      </c>
      <c r="AW12" s="6" t="str">
        <f t="shared" si="23"/>
        <v/>
      </c>
      <c r="AX12" s="20">
        <f t="shared" si="24"/>
        <v>3554</v>
      </c>
      <c r="AY12" s="5">
        <f t="shared" si="25"/>
        <v>0</v>
      </c>
      <c r="AZ12" s="5">
        <f t="shared" si="26"/>
        <v>3554</v>
      </c>
      <c r="BA12" s="14" t="str">
        <f t="shared" si="27"/>
        <v/>
      </c>
    </row>
    <row r="13" spans="1:54" x14ac:dyDescent="0.25">
      <c r="A13" s="3" t="s">
        <v>23</v>
      </c>
      <c r="B13" s="5">
        <f>15094.31</f>
        <v>15094.31</v>
      </c>
      <c r="C13" s="5">
        <f>316.67</f>
        <v>316.67</v>
      </c>
      <c r="D13" s="5">
        <f t="shared" si="0"/>
        <v>14777.64</v>
      </c>
      <c r="E13" s="6">
        <f t="shared" si="1"/>
        <v>47.66574036062778</v>
      </c>
      <c r="F13" s="5">
        <f>13173.99</f>
        <v>13173.99</v>
      </c>
      <c r="G13" s="5">
        <f>316.67</f>
        <v>316.67</v>
      </c>
      <c r="H13" s="5">
        <f t="shared" si="2"/>
        <v>12857.32</v>
      </c>
      <c r="I13" s="6">
        <f t="shared" si="3"/>
        <v>41.60163577225503</v>
      </c>
      <c r="J13" s="5">
        <f>64.67</f>
        <v>64.67</v>
      </c>
      <c r="K13" s="5">
        <f>316.67</f>
        <v>316.67</v>
      </c>
      <c r="L13" s="5">
        <f t="shared" si="4"/>
        <v>-252</v>
      </c>
      <c r="M13" s="6">
        <f t="shared" si="5"/>
        <v>0.2042189029589162</v>
      </c>
      <c r="N13" s="5">
        <f>11</f>
        <v>11</v>
      </c>
      <c r="O13" s="5">
        <f>316.67</f>
        <v>316.67</v>
      </c>
      <c r="P13" s="5">
        <f t="shared" si="6"/>
        <v>-305.67</v>
      </c>
      <c r="Q13" s="6">
        <f t="shared" si="7"/>
        <v>3.4736476458142547E-2</v>
      </c>
      <c r="R13" s="4"/>
      <c r="S13" s="5">
        <f>316.67</f>
        <v>316.67</v>
      </c>
      <c r="T13" s="5">
        <f t="shared" si="8"/>
        <v>-316.67</v>
      </c>
      <c r="U13" s="6">
        <f t="shared" si="9"/>
        <v>0</v>
      </c>
      <c r="V13" s="4"/>
      <c r="W13" s="5">
        <f>316.67</f>
        <v>316.67</v>
      </c>
      <c r="X13" s="5">
        <f t="shared" si="10"/>
        <v>-316.67</v>
      </c>
      <c r="Y13" s="6">
        <f t="shared" si="11"/>
        <v>0</v>
      </c>
      <c r="Z13" s="5">
        <f>58.37</f>
        <v>58.37</v>
      </c>
      <c r="AA13" s="5">
        <f>316.67</f>
        <v>316.67</v>
      </c>
      <c r="AB13" s="5">
        <f t="shared" si="12"/>
        <v>-258.3</v>
      </c>
      <c r="AC13" s="6">
        <f t="shared" si="13"/>
        <v>0.18432437553288911</v>
      </c>
      <c r="AD13" s="5">
        <f>38</f>
        <v>38</v>
      </c>
      <c r="AE13" s="5">
        <f>316.67</f>
        <v>316.67</v>
      </c>
      <c r="AF13" s="5">
        <f t="shared" si="14"/>
        <v>-278.67</v>
      </c>
      <c r="AG13" s="6">
        <f t="shared" si="15"/>
        <v>0.11999873685540152</v>
      </c>
      <c r="AH13" s="4"/>
      <c r="AI13" s="5">
        <f>316.67</f>
        <v>316.67</v>
      </c>
      <c r="AJ13" s="5">
        <f t="shared" si="16"/>
        <v>-316.67</v>
      </c>
      <c r="AK13" s="6">
        <f t="shared" si="17"/>
        <v>0</v>
      </c>
      <c r="AL13" s="5">
        <f>57.96</f>
        <v>57.96</v>
      </c>
      <c r="AM13" s="5">
        <f>316.67</f>
        <v>316.67</v>
      </c>
      <c r="AN13" s="5">
        <f t="shared" si="18"/>
        <v>-258.71000000000004</v>
      </c>
      <c r="AO13" s="6">
        <f t="shared" si="19"/>
        <v>0.18302965231944926</v>
      </c>
      <c r="AP13" s="4"/>
      <c r="AQ13" s="5">
        <f>316.67</f>
        <v>316.67</v>
      </c>
      <c r="AR13" s="5">
        <f t="shared" si="20"/>
        <v>-316.67</v>
      </c>
      <c r="AS13" s="6">
        <f t="shared" si="21"/>
        <v>0</v>
      </c>
      <c r="AT13" s="4"/>
      <c r="AU13" s="5">
        <f>316.63</f>
        <v>316.63</v>
      </c>
      <c r="AV13" s="5">
        <f t="shared" si="22"/>
        <v>-316.63</v>
      </c>
      <c r="AW13" s="6">
        <f t="shared" si="23"/>
        <v>0</v>
      </c>
      <c r="AX13" s="20">
        <f t="shared" si="24"/>
        <v>28498.299999999996</v>
      </c>
      <c r="AY13" s="5">
        <f t="shared" si="25"/>
        <v>3800.0000000000005</v>
      </c>
      <c r="AZ13" s="5">
        <f t="shared" si="26"/>
        <v>24698.299999999996</v>
      </c>
      <c r="BA13" s="14">
        <f t="shared" si="27"/>
        <v>7.4995526315789451</v>
      </c>
    </row>
    <row r="14" spans="1:54" x14ac:dyDescent="0.25">
      <c r="A14" s="3" t="s">
        <v>24</v>
      </c>
      <c r="B14" s="5">
        <f>5120.13</f>
        <v>5120.13</v>
      </c>
      <c r="C14" s="5">
        <f>5120.08</f>
        <v>5120.08</v>
      </c>
      <c r="D14" s="5">
        <f t="shared" si="0"/>
        <v>5.0000000000181899E-2</v>
      </c>
      <c r="E14" s="6">
        <f t="shared" si="1"/>
        <v>1.0000097654724145</v>
      </c>
      <c r="F14" s="5">
        <f>5120.13</f>
        <v>5120.13</v>
      </c>
      <c r="G14" s="5">
        <f>5120.08</f>
        <v>5120.08</v>
      </c>
      <c r="H14" s="5">
        <f t="shared" si="2"/>
        <v>5.0000000000181899E-2</v>
      </c>
      <c r="I14" s="6">
        <f t="shared" si="3"/>
        <v>1.0000097654724145</v>
      </c>
      <c r="J14" s="5">
        <f>5120.13</f>
        <v>5120.13</v>
      </c>
      <c r="K14" s="5">
        <f>5120.08</f>
        <v>5120.08</v>
      </c>
      <c r="L14" s="5">
        <f t="shared" si="4"/>
        <v>5.0000000000181899E-2</v>
      </c>
      <c r="M14" s="6">
        <f t="shared" si="5"/>
        <v>1.0000097654724145</v>
      </c>
      <c r="N14" s="5">
        <f>5120.13</f>
        <v>5120.13</v>
      </c>
      <c r="O14" s="5">
        <f>5120.08</f>
        <v>5120.08</v>
      </c>
      <c r="P14" s="5">
        <f t="shared" si="6"/>
        <v>5.0000000000181899E-2</v>
      </c>
      <c r="Q14" s="6">
        <f t="shared" si="7"/>
        <v>1.0000097654724145</v>
      </c>
      <c r="R14" s="5">
        <f>5120.13</f>
        <v>5120.13</v>
      </c>
      <c r="S14" s="5">
        <f>5120.08</f>
        <v>5120.08</v>
      </c>
      <c r="T14" s="5">
        <f t="shared" si="8"/>
        <v>5.0000000000181899E-2</v>
      </c>
      <c r="U14" s="6">
        <f t="shared" si="9"/>
        <v>1.0000097654724145</v>
      </c>
      <c r="V14" s="5">
        <f>5120.13</f>
        <v>5120.13</v>
      </c>
      <c r="W14" s="5">
        <f>5120.08</f>
        <v>5120.08</v>
      </c>
      <c r="X14" s="5">
        <f t="shared" si="10"/>
        <v>5.0000000000181899E-2</v>
      </c>
      <c r="Y14" s="6">
        <f t="shared" si="11"/>
        <v>1.0000097654724145</v>
      </c>
      <c r="Z14" s="5">
        <f>5120.13</f>
        <v>5120.13</v>
      </c>
      <c r="AA14" s="5">
        <f>5120.08</f>
        <v>5120.08</v>
      </c>
      <c r="AB14" s="5">
        <f t="shared" si="12"/>
        <v>5.0000000000181899E-2</v>
      </c>
      <c r="AC14" s="6">
        <f t="shared" si="13"/>
        <v>1.0000097654724145</v>
      </c>
      <c r="AD14" s="5">
        <f>10240.26</f>
        <v>10240.26</v>
      </c>
      <c r="AE14" s="5">
        <f>5120.08</f>
        <v>5120.08</v>
      </c>
      <c r="AF14" s="5">
        <f t="shared" si="14"/>
        <v>5120.18</v>
      </c>
      <c r="AG14" s="6">
        <f t="shared" si="15"/>
        <v>2.000019530944829</v>
      </c>
      <c r="AH14" s="5">
        <f>5120.13</f>
        <v>5120.13</v>
      </c>
      <c r="AI14" s="5">
        <f>5120.08</f>
        <v>5120.08</v>
      </c>
      <c r="AJ14" s="5">
        <f t="shared" si="16"/>
        <v>5.0000000000181899E-2</v>
      </c>
      <c r="AK14" s="6">
        <f t="shared" si="17"/>
        <v>1.0000097654724145</v>
      </c>
      <c r="AL14" s="5">
        <f>5120.13</f>
        <v>5120.13</v>
      </c>
      <c r="AM14" s="5">
        <f>5120.08</f>
        <v>5120.08</v>
      </c>
      <c r="AN14" s="5">
        <f t="shared" si="18"/>
        <v>5.0000000000181899E-2</v>
      </c>
      <c r="AO14" s="6">
        <f t="shared" si="19"/>
        <v>1.0000097654724145</v>
      </c>
      <c r="AP14" s="4"/>
      <c r="AQ14" s="5">
        <f>5120.08</f>
        <v>5120.08</v>
      </c>
      <c r="AR14" s="5">
        <f t="shared" si="20"/>
        <v>-5120.08</v>
      </c>
      <c r="AS14" s="6">
        <f t="shared" si="21"/>
        <v>0</v>
      </c>
      <c r="AT14" s="4"/>
      <c r="AU14" s="5">
        <f>5120.12</f>
        <v>5120.12</v>
      </c>
      <c r="AV14" s="5">
        <f t="shared" si="22"/>
        <v>-5120.12</v>
      </c>
      <c r="AW14" s="6">
        <f t="shared" si="23"/>
        <v>0</v>
      </c>
      <c r="AX14" s="20">
        <f t="shared" si="24"/>
        <v>56321.43</v>
      </c>
      <c r="AY14" s="5">
        <f t="shared" si="25"/>
        <v>61441.000000000015</v>
      </c>
      <c r="AZ14" s="5">
        <f t="shared" si="26"/>
        <v>-5119.5700000000143</v>
      </c>
      <c r="BA14" s="14">
        <f t="shared" si="27"/>
        <v>0.91667502156540404</v>
      </c>
    </row>
    <row r="15" spans="1:54" x14ac:dyDescent="0.25">
      <c r="A15" s="3" t="s">
        <v>25</v>
      </c>
      <c r="B15" s="4"/>
      <c r="C15" s="5">
        <f>2041.67</f>
        <v>2041.67</v>
      </c>
      <c r="D15" s="5">
        <f t="shared" si="0"/>
        <v>-2041.67</v>
      </c>
      <c r="E15" s="6">
        <f t="shared" si="1"/>
        <v>0</v>
      </c>
      <c r="F15" s="4"/>
      <c r="G15" s="5">
        <f>2041.67</f>
        <v>2041.67</v>
      </c>
      <c r="H15" s="5">
        <f t="shared" si="2"/>
        <v>-2041.67</v>
      </c>
      <c r="I15" s="6">
        <f t="shared" si="3"/>
        <v>0</v>
      </c>
      <c r="J15" s="5">
        <f>4202.86</f>
        <v>4202.8599999999997</v>
      </c>
      <c r="K15" s="5">
        <f>2041.67</f>
        <v>2041.67</v>
      </c>
      <c r="L15" s="5">
        <f t="shared" si="4"/>
        <v>2161.1899999999996</v>
      </c>
      <c r="M15" s="6">
        <f t="shared" si="5"/>
        <v>2.0585403125872443</v>
      </c>
      <c r="N15" s="4"/>
      <c r="O15" s="5">
        <f>2041.67</f>
        <v>2041.67</v>
      </c>
      <c r="P15" s="5">
        <f t="shared" si="6"/>
        <v>-2041.67</v>
      </c>
      <c r="Q15" s="6">
        <f t="shared" si="7"/>
        <v>0</v>
      </c>
      <c r="R15" s="4"/>
      <c r="S15" s="5">
        <f>2041.67</f>
        <v>2041.67</v>
      </c>
      <c r="T15" s="5">
        <f t="shared" si="8"/>
        <v>-2041.67</v>
      </c>
      <c r="U15" s="6">
        <f t="shared" si="9"/>
        <v>0</v>
      </c>
      <c r="V15" s="5">
        <f>4280.01</f>
        <v>4280.01</v>
      </c>
      <c r="W15" s="5">
        <f>2041.67</f>
        <v>2041.67</v>
      </c>
      <c r="X15" s="5">
        <f t="shared" si="10"/>
        <v>2238.34</v>
      </c>
      <c r="Y15" s="6">
        <f t="shared" si="11"/>
        <v>2.0963280059950922</v>
      </c>
      <c r="Z15" s="4"/>
      <c r="AA15" s="5">
        <f>2041.67</f>
        <v>2041.67</v>
      </c>
      <c r="AB15" s="5">
        <f t="shared" si="12"/>
        <v>-2041.67</v>
      </c>
      <c r="AC15" s="6">
        <f t="shared" si="13"/>
        <v>0</v>
      </c>
      <c r="AD15" s="4"/>
      <c r="AE15" s="5">
        <f>2041.67</f>
        <v>2041.67</v>
      </c>
      <c r="AF15" s="5">
        <f t="shared" si="14"/>
        <v>-2041.67</v>
      </c>
      <c r="AG15" s="6">
        <f t="shared" si="15"/>
        <v>0</v>
      </c>
      <c r="AH15" s="5">
        <f>4322.62</f>
        <v>4322.62</v>
      </c>
      <c r="AI15" s="5">
        <f>2041.67</f>
        <v>2041.67</v>
      </c>
      <c r="AJ15" s="5">
        <f t="shared" si="16"/>
        <v>2280.9499999999998</v>
      </c>
      <c r="AK15" s="6">
        <f t="shared" si="17"/>
        <v>2.1171981760029777</v>
      </c>
      <c r="AL15" s="5">
        <f>10000</f>
        <v>10000</v>
      </c>
      <c r="AM15" s="5">
        <f>2041.67</f>
        <v>2041.67</v>
      </c>
      <c r="AN15" s="5">
        <f t="shared" si="18"/>
        <v>7958.33</v>
      </c>
      <c r="AO15" s="6">
        <f t="shared" si="19"/>
        <v>4.89795118701847</v>
      </c>
      <c r="AP15" s="4"/>
      <c r="AQ15" s="5">
        <f>2041.67</f>
        <v>2041.67</v>
      </c>
      <c r="AR15" s="5">
        <f t="shared" si="20"/>
        <v>-2041.67</v>
      </c>
      <c r="AS15" s="6">
        <f t="shared" si="21"/>
        <v>0</v>
      </c>
      <c r="AT15" s="4"/>
      <c r="AU15" s="5">
        <f>2041.63</f>
        <v>2041.63</v>
      </c>
      <c r="AV15" s="5">
        <f t="shared" si="22"/>
        <v>-2041.63</v>
      </c>
      <c r="AW15" s="6">
        <f t="shared" si="23"/>
        <v>0</v>
      </c>
      <c r="AX15" s="20">
        <f t="shared" si="24"/>
        <v>22805.489999999998</v>
      </c>
      <c r="AY15" s="5">
        <f t="shared" si="25"/>
        <v>24499.999999999996</v>
      </c>
      <c r="AZ15" s="5">
        <f t="shared" si="26"/>
        <v>-1694.5099999999984</v>
      </c>
      <c r="BA15" s="14">
        <f t="shared" si="27"/>
        <v>0.93083632653061232</v>
      </c>
    </row>
    <row r="16" spans="1:54" hidden="1" x14ac:dyDescent="0.25">
      <c r="A16" s="3"/>
      <c r="B16" s="5"/>
      <c r="C16" s="4"/>
      <c r="D16" s="5"/>
      <c r="E16" s="6"/>
      <c r="F16" s="5"/>
      <c r="G16" s="4"/>
      <c r="H16" s="5"/>
      <c r="I16" s="6"/>
      <c r="J16" s="5"/>
      <c r="K16" s="4"/>
      <c r="L16" s="5"/>
      <c r="M16" s="6"/>
      <c r="N16" s="5"/>
      <c r="O16" s="4"/>
      <c r="P16" s="5"/>
      <c r="Q16" s="6"/>
      <c r="R16" s="5"/>
      <c r="S16" s="4"/>
      <c r="T16" s="5"/>
      <c r="U16" s="6"/>
      <c r="V16" s="5"/>
      <c r="W16" s="4"/>
      <c r="X16" s="5"/>
      <c r="Y16" s="6"/>
      <c r="Z16" s="5"/>
      <c r="AA16" s="4"/>
      <c r="AB16" s="5"/>
      <c r="AC16" s="6"/>
      <c r="AD16" s="5"/>
      <c r="AE16" s="4"/>
      <c r="AF16" s="5"/>
      <c r="AG16" s="6"/>
      <c r="AH16" s="5"/>
      <c r="AI16" s="4"/>
      <c r="AJ16" s="5"/>
      <c r="AK16" s="6"/>
      <c r="AL16" s="5"/>
      <c r="AM16" s="4"/>
      <c r="AN16" s="5"/>
      <c r="AO16" s="6"/>
      <c r="AP16" s="5"/>
      <c r="AQ16" s="4"/>
      <c r="AR16" s="5"/>
      <c r="AS16" s="6"/>
      <c r="AT16" s="4"/>
      <c r="AU16" s="4"/>
      <c r="AV16" s="5"/>
      <c r="AW16" s="6"/>
      <c r="AX16" s="20"/>
      <c r="AY16" s="5"/>
      <c r="AZ16" s="5"/>
      <c r="BA16" s="14"/>
    </row>
    <row r="17" spans="1:54" x14ac:dyDescent="0.25">
      <c r="A17" s="3" t="s">
        <v>26</v>
      </c>
      <c r="B17" s="7">
        <f>((((((((B8)+(B9))+(B10))+(B11))+(B12))+(B13))+(B14))+(B15))+(B16)</f>
        <v>70785.080000000016</v>
      </c>
      <c r="C17" s="7">
        <f>((((((((C8)+(C9))+(C10))+(C11))+(C12))+(C13))+(C14))+(C15))+(C16)</f>
        <v>28451.339999999997</v>
      </c>
      <c r="D17" s="7">
        <f t="shared" si="0"/>
        <v>42333.74000000002</v>
      </c>
      <c r="E17" s="8">
        <f t="shared" si="1"/>
        <v>2.4879348389214715</v>
      </c>
      <c r="F17" s="7">
        <f>((((((((F8)+(F9))+(F10))+(F11))+(F12))+(F13))+(F14))+(F15))+(F16)</f>
        <v>54860.009999999995</v>
      </c>
      <c r="G17" s="7">
        <f>((((((((G8)+(G9))+(G10))+(G11))+(G12))+(G13))+(G14))+(G15))+(G16)</f>
        <v>28451.339999999997</v>
      </c>
      <c r="H17" s="7">
        <f t="shared" si="2"/>
        <v>26408.67</v>
      </c>
      <c r="I17" s="8">
        <f t="shared" si="3"/>
        <v>1.9282047875425201</v>
      </c>
      <c r="J17" s="7">
        <f>((((((((J8)+(J9))+(J10))+(J11))+(J12))+(J13))+(J14))+(J15))+(J16)</f>
        <v>51204.119999999995</v>
      </c>
      <c r="K17" s="7">
        <f>((((((((K8)+(K9))+(K10))+(K11))+(K12))+(K13))+(K14))+(K15))+(K16)</f>
        <v>28451.339999999997</v>
      </c>
      <c r="L17" s="7">
        <f t="shared" si="4"/>
        <v>22752.78</v>
      </c>
      <c r="M17" s="8">
        <f t="shared" si="5"/>
        <v>1.7997085550276368</v>
      </c>
      <c r="N17" s="7">
        <f>((((((((N8)+(N9))+(N10))+(N11))+(N12))+(N13))+(N14))+(N15))+(N16)</f>
        <v>23335.65</v>
      </c>
      <c r="O17" s="7">
        <f>((((((((O8)+(O9))+(O10))+(O11))+(O12))+(O13))+(O14))+(O15))+(O16)</f>
        <v>28451.339999999997</v>
      </c>
      <c r="P17" s="7">
        <f t="shared" si="6"/>
        <v>-5115.6899999999951</v>
      </c>
      <c r="Q17" s="8">
        <f t="shared" si="7"/>
        <v>0.82019511207556495</v>
      </c>
      <c r="R17" s="7">
        <f>((((((((R8)+(R9))+(R10))+(R11))+(R12))+(R13))+(R14))+(R15))+(R16)</f>
        <v>24179.260000000002</v>
      </c>
      <c r="S17" s="7">
        <f>((((((((S8)+(S9))+(S10))+(S11))+(S12))+(S13))+(S14))+(S15))+(S16)</f>
        <v>28451.339999999997</v>
      </c>
      <c r="T17" s="7">
        <f t="shared" si="8"/>
        <v>-4272.0799999999945</v>
      </c>
      <c r="U17" s="8">
        <f t="shared" si="9"/>
        <v>0.84984608809286333</v>
      </c>
      <c r="V17" s="7">
        <f>((((((((V8)+(V9))+(V10))+(V11))+(V12))+(V13))+(V14))+(V15))+(V16)</f>
        <v>53274.99</v>
      </c>
      <c r="W17" s="7">
        <f>((((((((W8)+(W9))+(W10))+(W11))+(W12))+(W13))+(W14))+(W15))+(W16)</f>
        <v>28451.339999999997</v>
      </c>
      <c r="X17" s="7">
        <f t="shared" si="10"/>
        <v>24823.65</v>
      </c>
      <c r="Y17" s="8">
        <f t="shared" si="11"/>
        <v>1.872494933454804</v>
      </c>
      <c r="Z17" s="7">
        <f>((((((((Z8)+(Z9))+(Z10))+(Z11))+(Z12))+(Z13))+(Z14))+(Z15))+(Z16)</f>
        <v>31397.81</v>
      </c>
      <c r="AA17" s="7">
        <f>((((((((AA8)+(AA9))+(AA10))+(AA11))+(AA12))+(AA13))+(AA14))+(AA15))+(AA16)</f>
        <v>28451.339999999997</v>
      </c>
      <c r="AB17" s="7">
        <f t="shared" si="12"/>
        <v>2946.4700000000048</v>
      </c>
      <c r="AC17" s="8">
        <f t="shared" si="13"/>
        <v>1.1035617303086604</v>
      </c>
      <c r="AD17" s="7">
        <f>((((((((AD8)+(AD9))+(AD10))+(AD11))+(AD12))+(AD13))+(AD14))+(AD15))+(AD16)</f>
        <v>20409.54</v>
      </c>
      <c r="AE17" s="7">
        <f>((((((((AE8)+(AE9))+(AE10))+(AE11))+(AE12))+(AE13))+(AE14))+(AE15))+(AE16)</f>
        <v>28451.339999999997</v>
      </c>
      <c r="AF17" s="7">
        <f t="shared" si="14"/>
        <v>-8041.7999999999956</v>
      </c>
      <c r="AG17" s="8">
        <f t="shared" si="15"/>
        <v>0.71734898953792703</v>
      </c>
      <c r="AH17" s="7">
        <f>((((((((AH8)+(AH9))+(AH10))+(AH11))+(AH12))+(AH13))+(AH14))+(AH15))+(AH16)</f>
        <v>18520.239999999998</v>
      </c>
      <c r="AI17" s="7">
        <f>((((((((AI8)+(AI9))+(AI10))+(AI11))+(AI12))+(AI13))+(AI14))+(AI15))+(AI16)</f>
        <v>28451.339999999997</v>
      </c>
      <c r="AJ17" s="7">
        <f t="shared" si="16"/>
        <v>-9931.0999999999985</v>
      </c>
      <c r="AK17" s="8">
        <f t="shared" si="17"/>
        <v>0.65094438434182711</v>
      </c>
      <c r="AL17" s="7">
        <f>((((((((AL8)+(AL9))+(AL10))+(AL11))+(AL12))+(AL13))+(AL14))+(AL15))+(AL16)</f>
        <v>36420.06</v>
      </c>
      <c r="AM17" s="7">
        <f>((((((((AM8)+(AM9))+(AM10))+(AM11))+(AM12))+(AM13))+(AM14))+(AM15))+(AM16)</f>
        <v>28451.339999999997</v>
      </c>
      <c r="AN17" s="7">
        <f t="shared" si="18"/>
        <v>7968.7200000000012</v>
      </c>
      <c r="AO17" s="8">
        <f t="shared" si="19"/>
        <v>1.2800824143959477</v>
      </c>
      <c r="AP17" s="7">
        <f>((((((((AP8)+(AP9))+(AP10))+(AP11))+(AP12))+(AP13))+(AP14))+(AP15))+(AP16)</f>
        <v>0</v>
      </c>
      <c r="AQ17" s="7">
        <f>((((((((AQ8)+(AQ9))+(AQ10))+(AQ11))+(AQ12))+(AQ13))+(AQ14))+(AQ15))+(AQ16)</f>
        <v>28451.339999999997</v>
      </c>
      <c r="AR17" s="7">
        <f t="shared" si="20"/>
        <v>-28451.339999999997</v>
      </c>
      <c r="AS17" s="8">
        <f t="shared" si="21"/>
        <v>0</v>
      </c>
      <c r="AT17" s="7">
        <f>((((((((AT8)+(AT9))+(AT10))+(AT11))+(AT12))+(AT13))+(AT14))+(AT15))+(AT16)</f>
        <v>0</v>
      </c>
      <c r="AU17" s="7">
        <f>((((((((AU8)+(AU9))+(AU10))+(AU11))+(AU12))+(AU13))+(AU14))+(AU15))+(AU16)</f>
        <v>28451.260000000002</v>
      </c>
      <c r="AV17" s="7">
        <f t="shared" si="22"/>
        <v>-28451.260000000002</v>
      </c>
      <c r="AW17" s="8">
        <f t="shared" si="23"/>
        <v>0</v>
      </c>
      <c r="AX17" s="21">
        <f t="shared" si="24"/>
        <v>384386.76</v>
      </c>
      <c r="AY17" s="9">
        <f t="shared" si="25"/>
        <v>341416</v>
      </c>
      <c r="AZ17" s="9">
        <f t="shared" si="26"/>
        <v>42970.760000000009</v>
      </c>
      <c r="BA17" s="15">
        <f t="shared" si="27"/>
        <v>1.1258604166178503</v>
      </c>
      <c r="BB17" s="24"/>
    </row>
    <row r="18" spans="1:54" x14ac:dyDescent="0.25">
      <c r="A18" s="3" t="s">
        <v>27</v>
      </c>
      <c r="B18" s="7">
        <f>(B17)-(0)</f>
        <v>70785.080000000016</v>
      </c>
      <c r="C18" s="7">
        <f>(C17)-(0)</f>
        <v>28451.339999999997</v>
      </c>
      <c r="D18" s="7">
        <f t="shared" si="0"/>
        <v>42333.74000000002</v>
      </c>
      <c r="E18" s="8">
        <f t="shared" si="1"/>
        <v>2.4879348389214715</v>
      </c>
      <c r="F18" s="7">
        <f>(F17)-(0)</f>
        <v>54860.009999999995</v>
      </c>
      <c r="G18" s="7">
        <f>(G17)-(0)</f>
        <v>28451.339999999997</v>
      </c>
      <c r="H18" s="7">
        <f t="shared" si="2"/>
        <v>26408.67</v>
      </c>
      <c r="I18" s="8">
        <f t="shared" si="3"/>
        <v>1.9282047875425201</v>
      </c>
      <c r="J18" s="7">
        <f>(J17)-(0)</f>
        <v>51204.119999999995</v>
      </c>
      <c r="K18" s="7">
        <f>(K17)-(0)</f>
        <v>28451.339999999997</v>
      </c>
      <c r="L18" s="7">
        <f t="shared" si="4"/>
        <v>22752.78</v>
      </c>
      <c r="M18" s="8">
        <f t="shared" si="5"/>
        <v>1.7997085550276368</v>
      </c>
      <c r="N18" s="7">
        <f>(N17)-(0)</f>
        <v>23335.65</v>
      </c>
      <c r="O18" s="7">
        <f>(O17)-(0)</f>
        <v>28451.339999999997</v>
      </c>
      <c r="P18" s="7">
        <f t="shared" si="6"/>
        <v>-5115.6899999999951</v>
      </c>
      <c r="Q18" s="8">
        <f t="shared" si="7"/>
        <v>0.82019511207556495</v>
      </c>
      <c r="R18" s="7">
        <f>(R17)-(0)</f>
        <v>24179.260000000002</v>
      </c>
      <c r="S18" s="7">
        <f>(S17)-(0)</f>
        <v>28451.339999999997</v>
      </c>
      <c r="T18" s="7">
        <f t="shared" si="8"/>
        <v>-4272.0799999999945</v>
      </c>
      <c r="U18" s="8">
        <f t="shared" si="9"/>
        <v>0.84984608809286333</v>
      </c>
      <c r="V18" s="7">
        <f>(V17)-(0)</f>
        <v>53274.99</v>
      </c>
      <c r="W18" s="7">
        <f>(W17)-(0)</f>
        <v>28451.339999999997</v>
      </c>
      <c r="X18" s="7">
        <f t="shared" si="10"/>
        <v>24823.65</v>
      </c>
      <c r="Y18" s="8">
        <f t="shared" si="11"/>
        <v>1.872494933454804</v>
      </c>
      <c r="Z18" s="7">
        <f>(Z17)-(0)</f>
        <v>31397.81</v>
      </c>
      <c r="AA18" s="7">
        <f>(AA17)-(0)</f>
        <v>28451.339999999997</v>
      </c>
      <c r="AB18" s="7">
        <f t="shared" si="12"/>
        <v>2946.4700000000048</v>
      </c>
      <c r="AC18" s="8">
        <f t="shared" si="13"/>
        <v>1.1035617303086604</v>
      </c>
      <c r="AD18" s="7">
        <f>(AD17)-(0)</f>
        <v>20409.54</v>
      </c>
      <c r="AE18" s="7">
        <f>(AE17)-(0)</f>
        <v>28451.339999999997</v>
      </c>
      <c r="AF18" s="7">
        <f t="shared" si="14"/>
        <v>-8041.7999999999956</v>
      </c>
      <c r="AG18" s="8">
        <f t="shared" si="15"/>
        <v>0.71734898953792703</v>
      </c>
      <c r="AH18" s="7">
        <f>(AH17)-(0)</f>
        <v>18520.239999999998</v>
      </c>
      <c r="AI18" s="7">
        <f>(AI17)-(0)</f>
        <v>28451.339999999997</v>
      </c>
      <c r="AJ18" s="7">
        <f t="shared" si="16"/>
        <v>-9931.0999999999985</v>
      </c>
      <c r="AK18" s="8">
        <f t="shared" si="17"/>
        <v>0.65094438434182711</v>
      </c>
      <c r="AL18" s="7">
        <f>(AL17)-(0)</f>
        <v>36420.06</v>
      </c>
      <c r="AM18" s="7">
        <f>(AM17)-(0)</f>
        <v>28451.339999999997</v>
      </c>
      <c r="AN18" s="7">
        <f t="shared" si="18"/>
        <v>7968.7200000000012</v>
      </c>
      <c r="AO18" s="8">
        <f t="shared" si="19"/>
        <v>1.2800824143959477</v>
      </c>
      <c r="AP18" s="7">
        <f>(AP17)-(0)</f>
        <v>0</v>
      </c>
      <c r="AQ18" s="7">
        <f>(AQ17)-(0)</f>
        <v>28451.339999999997</v>
      </c>
      <c r="AR18" s="7">
        <f t="shared" si="20"/>
        <v>-28451.339999999997</v>
      </c>
      <c r="AS18" s="8">
        <f t="shared" si="21"/>
        <v>0</v>
      </c>
      <c r="AT18" s="7">
        <f>(AT17)-(0)</f>
        <v>0</v>
      </c>
      <c r="AU18" s="7">
        <f>(AU17)-(0)</f>
        <v>28451.260000000002</v>
      </c>
      <c r="AV18" s="7">
        <f t="shared" si="22"/>
        <v>-28451.260000000002</v>
      </c>
      <c r="AW18" s="8">
        <f t="shared" si="23"/>
        <v>0</v>
      </c>
      <c r="AX18" s="21">
        <f t="shared" si="24"/>
        <v>384386.76</v>
      </c>
      <c r="AY18" s="9">
        <f t="shared" si="25"/>
        <v>341416</v>
      </c>
      <c r="AZ18" s="9">
        <f t="shared" si="26"/>
        <v>42970.760000000009</v>
      </c>
      <c r="BA18" s="15">
        <f t="shared" si="27"/>
        <v>1.1258604166178503</v>
      </c>
    </row>
    <row r="19" spans="1:54" x14ac:dyDescent="0.25">
      <c r="A19" s="3" t="s">
        <v>28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19"/>
      <c r="AY19" s="4"/>
      <c r="AZ19" s="4"/>
      <c r="BA19" s="13"/>
    </row>
    <row r="20" spans="1:54" x14ac:dyDescent="0.25">
      <c r="A20" s="3" t="s">
        <v>29</v>
      </c>
      <c r="B20" s="5">
        <f>13253.9</f>
        <v>13253.9</v>
      </c>
      <c r="C20" s="5">
        <f>14941</f>
        <v>14941</v>
      </c>
      <c r="D20" s="5">
        <f t="shared" ref="D20:D51" si="28">(B20)-(C20)</f>
        <v>-1687.1000000000004</v>
      </c>
      <c r="E20" s="6">
        <f t="shared" ref="E20:E51" si="29">IF(C20=0,"",(B20)/(C20))</f>
        <v>0.88708252459674719</v>
      </c>
      <c r="F20" s="5">
        <f>19737.58</f>
        <v>19737.580000000002</v>
      </c>
      <c r="G20" s="5">
        <f>14941</f>
        <v>14941</v>
      </c>
      <c r="H20" s="5">
        <f t="shared" ref="H20:H51" si="30">(F20)-(G20)</f>
        <v>4796.5800000000017</v>
      </c>
      <c r="I20" s="6">
        <f t="shared" ref="I20:I51" si="31">IF(G20=0,"",(F20)/(G20))</f>
        <v>1.3210347366307478</v>
      </c>
      <c r="J20" s="5">
        <f>13149.4</f>
        <v>13149.4</v>
      </c>
      <c r="K20" s="5">
        <f>14941</f>
        <v>14941</v>
      </c>
      <c r="L20" s="5">
        <f t="shared" ref="L20:L51" si="32">(J20)-(K20)</f>
        <v>-1791.6000000000004</v>
      </c>
      <c r="M20" s="6">
        <f t="shared" ref="M20:M51" si="33">IF(K20=0,"",(J20)/(K20))</f>
        <v>0.88008834750016729</v>
      </c>
      <c r="N20" s="5">
        <f>13182.02</f>
        <v>13182.02</v>
      </c>
      <c r="O20" s="5">
        <f>14941</f>
        <v>14941</v>
      </c>
      <c r="P20" s="5">
        <f t="shared" ref="P20:P51" si="34">(N20)-(O20)</f>
        <v>-1758.9799999999996</v>
      </c>
      <c r="Q20" s="6">
        <f t="shared" ref="Q20:Q51" si="35">IF(O20=0,"",(N20)/(O20))</f>
        <v>0.88227160163309015</v>
      </c>
      <c r="R20" s="5">
        <f>13331.36</f>
        <v>13331.36</v>
      </c>
      <c r="S20" s="5">
        <f>14941</f>
        <v>14941</v>
      </c>
      <c r="T20" s="5">
        <f t="shared" ref="T20:T51" si="36">(R20)-(S20)</f>
        <v>-1609.6399999999994</v>
      </c>
      <c r="U20" s="6">
        <f t="shared" ref="U20:U51" si="37">IF(S20=0,"",(R20)/(S20))</f>
        <v>0.8922669165383843</v>
      </c>
      <c r="V20" s="5">
        <f>12391.45</f>
        <v>12391.45</v>
      </c>
      <c r="W20" s="5">
        <f>14941</f>
        <v>14941</v>
      </c>
      <c r="X20" s="5">
        <f t="shared" ref="X20:X51" si="38">(V20)-(W20)</f>
        <v>-2549.5499999999993</v>
      </c>
      <c r="Y20" s="6">
        <f t="shared" ref="Y20:Y51" si="39">IF(W20=0,"",(V20)/(W20))</f>
        <v>0.82935881132454325</v>
      </c>
      <c r="Z20" s="5">
        <f>13555.89</f>
        <v>13555.89</v>
      </c>
      <c r="AA20" s="5">
        <f>14941</f>
        <v>14941</v>
      </c>
      <c r="AB20" s="5">
        <f t="shared" ref="AB20:AB51" si="40">(Z20)-(AA20)</f>
        <v>-1385.1100000000006</v>
      </c>
      <c r="AC20" s="6">
        <f t="shared" ref="AC20:AC51" si="41">IF(AA20=0,"",(Z20)/(AA20))</f>
        <v>0.90729469245699745</v>
      </c>
      <c r="AD20" s="5">
        <f>19829.67</f>
        <v>19829.669999999998</v>
      </c>
      <c r="AE20" s="5">
        <f>14941</f>
        <v>14941</v>
      </c>
      <c r="AF20" s="5">
        <f t="shared" ref="AF20:AF51" si="42">(AD20)-(AE20)</f>
        <v>4888.6699999999983</v>
      </c>
      <c r="AG20" s="6">
        <f t="shared" ref="AG20:AG51" si="43">IF(AE20=0,"",(AD20)/(AE20))</f>
        <v>1.3271983133659058</v>
      </c>
      <c r="AH20" s="5">
        <f>13170.43</f>
        <v>13170.43</v>
      </c>
      <c r="AI20" s="5">
        <f>14941</f>
        <v>14941</v>
      </c>
      <c r="AJ20" s="5">
        <f t="shared" ref="AJ20:AJ51" si="44">(AH20)-(AI20)</f>
        <v>-1770.5699999999997</v>
      </c>
      <c r="AK20" s="6">
        <f t="shared" ref="AK20:AK51" si="45">IF(AI20=0,"",(AH20)/(AI20))</f>
        <v>0.88149588380965127</v>
      </c>
      <c r="AL20" s="5">
        <f>13455.39</f>
        <v>13455.39</v>
      </c>
      <c r="AM20" s="5">
        <f>14941</f>
        <v>14941</v>
      </c>
      <c r="AN20" s="5">
        <f t="shared" ref="AN20:AN51" si="46">(AL20)-(AM20)</f>
        <v>-1485.6100000000006</v>
      </c>
      <c r="AO20" s="6">
        <f t="shared" ref="AO20:AO51" si="47">IF(AM20=0,"",(AL20)/(AM20))</f>
        <v>0.9005682350578943</v>
      </c>
      <c r="AP20" s="5"/>
      <c r="AQ20" s="5">
        <f>14941</f>
        <v>14941</v>
      </c>
      <c r="AR20" s="5">
        <f t="shared" ref="AR20:AR51" si="48">(AP20)-(AQ20)</f>
        <v>-14941</v>
      </c>
      <c r="AS20" s="6">
        <f t="shared" ref="AS20:AS51" si="49">IF(AQ20=0,"",(AP20)/(AQ20))</f>
        <v>0</v>
      </c>
      <c r="AT20" s="4"/>
      <c r="AU20" s="5">
        <f>14941</f>
        <v>14941</v>
      </c>
      <c r="AV20" s="5">
        <f t="shared" ref="AV20:AV51" si="50">(AT20)-(AU20)</f>
        <v>-14941</v>
      </c>
      <c r="AW20" s="6">
        <f t="shared" ref="AW20:AW51" si="51">IF(AU20=0,"",(AT20)/(AU20))</f>
        <v>0</v>
      </c>
      <c r="AX20" s="20">
        <f t="shared" ref="AX20:AX51" si="52">(((((((((((B20)+(F20))+(J20))+(N20))+(R20))+(V20))+(Z20))+(AD20))+(AH20))+(AL20))+(AP20))+(AT20)</f>
        <v>145057.09000000003</v>
      </c>
      <c r="AY20" s="5">
        <f t="shared" ref="AY20:AY51" si="53">(((((((((((C20)+(G20))+(K20))+(O20))+(S20))+(W20))+(AA20))+(AE20))+(AI20))+(AM20))+(AQ20))+(AU20)</f>
        <v>179292</v>
      </c>
      <c r="AZ20" s="5">
        <f t="shared" ref="AZ20:AZ51" si="54">(AX20)-(AY20)</f>
        <v>-34234.909999999974</v>
      </c>
      <c r="BA20" s="14">
        <f t="shared" ref="BA20:BA51" si="55">IF(AY20=0,"",(AX20)/(AY20))</f>
        <v>0.80905500524284424</v>
      </c>
    </row>
    <row r="21" spans="1:54" hidden="1" x14ac:dyDescent="0.25">
      <c r="A21" s="3" t="s">
        <v>30</v>
      </c>
      <c r="B21" s="4"/>
      <c r="C21" s="5">
        <f>0</f>
        <v>0</v>
      </c>
      <c r="D21" s="5">
        <f t="shared" si="28"/>
        <v>0</v>
      </c>
      <c r="E21" s="6" t="str">
        <f t="shared" si="29"/>
        <v/>
      </c>
      <c r="F21" s="4"/>
      <c r="G21" s="5">
        <f>0</f>
        <v>0</v>
      </c>
      <c r="H21" s="5">
        <f t="shared" si="30"/>
        <v>0</v>
      </c>
      <c r="I21" s="6" t="str">
        <f t="shared" si="31"/>
        <v/>
      </c>
      <c r="J21" s="4"/>
      <c r="K21" s="5">
        <f>0</f>
        <v>0</v>
      </c>
      <c r="L21" s="5">
        <f t="shared" si="32"/>
        <v>0</v>
      </c>
      <c r="M21" s="6" t="str">
        <f t="shared" si="33"/>
        <v/>
      </c>
      <c r="N21" s="4"/>
      <c r="O21" s="5">
        <f>0</f>
        <v>0</v>
      </c>
      <c r="P21" s="5">
        <f t="shared" si="34"/>
        <v>0</v>
      </c>
      <c r="Q21" s="6" t="str">
        <f t="shared" si="35"/>
        <v/>
      </c>
      <c r="R21" s="4"/>
      <c r="S21" s="5">
        <f>0</f>
        <v>0</v>
      </c>
      <c r="T21" s="5">
        <f t="shared" si="36"/>
        <v>0</v>
      </c>
      <c r="U21" s="6" t="str">
        <f t="shared" si="37"/>
        <v/>
      </c>
      <c r="V21" s="4"/>
      <c r="W21" s="5">
        <f>0</f>
        <v>0</v>
      </c>
      <c r="X21" s="5">
        <f t="shared" si="38"/>
        <v>0</v>
      </c>
      <c r="Y21" s="6" t="str">
        <f t="shared" si="39"/>
        <v/>
      </c>
      <c r="Z21" s="4"/>
      <c r="AA21" s="5">
        <f>0</f>
        <v>0</v>
      </c>
      <c r="AB21" s="5">
        <f t="shared" si="40"/>
        <v>0</v>
      </c>
      <c r="AC21" s="6" t="str">
        <f t="shared" si="41"/>
        <v/>
      </c>
      <c r="AD21" s="4"/>
      <c r="AE21" s="5">
        <f>0</f>
        <v>0</v>
      </c>
      <c r="AF21" s="5">
        <f t="shared" si="42"/>
        <v>0</v>
      </c>
      <c r="AG21" s="6" t="str">
        <f t="shared" si="43"/>
        <v/>
      </c>
      <c r="AH21" s="4"/>
      <c r="AI21" s="5">
        <f>0</f>
        <v>0</v>
      </c>
      <c r="AJ21" s="5">
        <f t="shared" si="44"/>
        <v>0</v>
      </c>
      <c r="AK21" s="6" t="str">
        <f t="shared" si="45"/>
        <v/>
      </c>
      <c r="AL21" s="4"/>
      <c r="AM21" s="5">
        <f>0</f>
        <v>0</v>
      </c>
      <c r="AN21" s="5">
        <f t="shared" si="46"/>
        <v>0</v>
      </c>
      <c r="AO21" s="6" t="str">
        <f t="shared" si="47"/>
        <v/>
      </c>
      <c r="AP21" s="4"/>
      <c r="AQ21" s="5">
        <f>0</f>
        <v>0</v>
      </c>
      <c r="AR21" s="5">
        <f t="shared" si="48"/>
        <v>0</v>
      </c>
      <c r="AS21" s="6" t="str">
        <f t="shared" si="49"/>
        <v/>
      </c>
      <c r="AT21" s="4"/>
      <c r="AU21" s="5">
        <f>0</f>
        <v>0</v>
      </c>
      <c r="AV21" s="5">
        <f t="shared" si="50"/>
        <v>0</v>
      </c>
      <c r="AW21" s="6" t="str">
        <f t="shared" si="51"/>
        <v/>
      </c>
      <c r="AX21" s="20">
        <f t="shared" si="52"/>
        <v>0</v>
      </c>
      <c r="AY21" s="5">
        <f t="shared" si="53"/>
        <v>0</v>
      </c>
      <c r="AZ21" s="5">
        <f t="shared" si="54"/>
        <v>0</v>
      </c>
      <c r="BA21" s="14" t="str">
        <f t="shared" si="55"/>
        <v/>
      </c>
    </row>
    <row r="22" spans="1:54" x14ac:dyDescent="0.25">
      <c r="A22" s="3" t="s">
        <v>31</v>
      </c>
      <c r="B22" s="5">
        <f>111.11</f>
        <v>111.11</v>
      </c>
      <c r="C22" s="5">
        <f>402.58</f>
        <v>402.58</v>
      </c>
      <c r="D22" s="5">
        <f t="shared" si="28"/>
        <v>-291.46999999999997</v>
      </c>
      <c r="E22" s="6">
        <f t="shared" si="29"/>
        <v>0.27599483332505342</v>
      </c>
      <c r="F22" s="5">
        <f>397.15</f>
        <v>397.15</v>
      </c>
      <c r="G22" s="5">
        <f>402.58</f>
        <v>402.58</v>
      </c>
      <c r="H22" s="5">
        <f t="shared" si="30"/>
        <v>-5.4300000000000068</v>
      </c>
      <c r="I22" s="6">
        <f t="shared" si="31"/>
        <v>0.98651199761538078</v>
      </c>
      <c r="J22" s="5">
        <f>159.78</f>
        <v>159.78</v>
      </c>
      <c r="K22" s="5">
        <f>402.58</f>
        <v>402.58</v>
      </c>
      <c r="L22" s="5">
        <f t="shared" si="32"/>
        <v>-242.79999999999998</v>
      </c>
      <c r="M22" s="6">
        <f t="shared" si="33"/>
        <v>0.39689005911868452</v>
      </c>
      <c r="N22" s="5">
        <f>94.69</f>
        <v>94.69</v>
      </c>
      <c r="O22" s="5">
        <f>402.58</f>
        <v>402.58</v>
      </c>
      <c r="P22" s="5">
        <f t="shared" si="34"/>
        <v>-307.89</v>
      </c>
      <c r="Q22" s="6">
        <f t="shared" si="35"/>
        <v>0.23520790898703364</v>
      </c>
      <c r="R22" s="5">
        <f>527.82</f>
        <v>527.82000000000005</v>
      </c>
      <c r="S22" s="5">
        <f>402.58</f>
        <v>402.58</v>
      </c>
      <c r="T22" s="5">
        <f t="shared" si="36"/>
        <v>125.24000000000007</v>
      </c>
      <c r="U22" s="6">
        <f t="shared" si="37"/>
        <v>1.3110934472651401</v>
      </c>
      <c r="V22" s="5">
        <f>1226.19</f>
        <v>1226.19</v>
      </c>
      <c r="W22" s="5">
        <f>402.58</f>
        <v>402.58</v>
      </c>
      <c r="X22" s="5">
        <f t="shared" si="38"/>
        <v>823.61000000000013</v>
      </c>
      <c r="Y22" s="6">
        <f t="shared" si="39"/>
        <v>3.0458294003676292</v>
      </c>
      <c r="Z22" s="5">
        <f>128.27</f>
        <v>128.27000000000001</v>
      </c>
      <c r="AA22" s="5">
        <f>402.58</f>
        <v>402.58</v>
      </c>
      <c r="AB22" s="5">
        <f t="shared" si="40"/>
        <v>-274.30999999999995</v>
      </c>
      <c r="AC22" s="6">
        <f t="shared" si="41"/>
        <v>0.3186199016344578</v>
      </c>
      <c r="AD22" s="5">
        <f>653.39</f>
        <v>653.39</v>
      </c>
      <c r="AE22" s="5">
        <f>402.58</f>
        <v>402.58</v>
      </c>
      <c r="AF22" s="5">
        <f t="shared" si="42"/>
        <v>250.81</v>
      </c>
      <c r="AG22" s="6">
        <f t="shared" si="43"/>
        <v>1.6230066073823837</v>
      </c>
      <c r="AH22" s="5">
        <f>376.06</f>
        <v>376.06</v>
      </c>
      <c r="AI22" s="5">
        <f>402.58</f>
        <v>402.58</v>
      </c>
      <c r="AJ22" s="5">
        <f t="shared" si="44"/>
        <v>-26.519999999999982</v>
      </c>
      <c r="AK22" s="6">
        <f t="shared" si="45"/>
        <v>0.93412489443092062</v>
      </c>
      <c r="AL22" s="5">
        <f>345.07</f>
        <v>345.07</v>
      </c>
      <c r="AM22" s="5">
        <f>402.58</f>
        <v>402.58</v>
      </c>
      <c r="AN22" s="5">
        <f t="shared" si="46"/>
        <v>-57.509999999999991</v>
      </c>
      <c r="AO22" s="6">
        <f t="shared" si="47"/>
        <v>0.85714640568334244</v>
      </c>
      <c r="AP22" s="4"/>
      <c r="AQ22" s="5">
        <f>402.58</f>
        <v>402.58</v>
      </c>
      <c r="AR22" s="5">
        <f t="shared" si="48"/>
        <v>-402.58</v>
      </c>
      <c r="AS22" s="6">
        <f t="shared" si="49"/>
        <v>0</v>
      </c>
      <c r="AT22" s="4"/>
      <c r="AU22" s="5">
        <f>402.62</f>
        <v>402.62</v>
      </c>
      <c r="AV22" s="5">
        <f t="shared" si="50"/>
        <v>-402.62</v>
      </c>
      <c r="AW22" s="6">
        <f t="shared" si="51"/>
        <v>0</v>
      </c>
      <c r="AX22" s="20">
        <f t="shared" si="52"/>
        <v>4019.53</v>
      </c>
      <c r="AY22" s="5">
        <f t="shared" si="53"/>
        <v>4831</v>
      </c>
      <c r="AZ22" s="5">
        <f t="shared" si="54"/>
        <v>-811.4699999999998</v>
      </c>
      <c r="BA22" s="14">
        <f t="shared" si="55"/>
        <v>0.83202856551438631</v>
      </c>
    </row>
    <row r="23" spans="1:54" x14ac:dyDescent="0.25">
      <c r="A23" s="3" t="s">
        <v>32</v>
      </c>
      <c r="B23" s="4"/>
      <c r="C23" s="5">
        <f>0</f>
        <v>0</v>
      </c>
      <c r="D23" s="5">
        <f t="shared" si="28"/>
        <v>0</v>
      </c>
      <c r="E23" s="6" t="str">
        <f t="shared" si="29"/>
        <v/>
      </c>
      <c r="F23" s="4"/>
      <c r="G23" s="5">
        <f>0</f>
        <v>0</v>
      </c>
      <c r="H23" s="5">
        <f t="shared" si="30"/>
        <v>0</v>
      </c>
      <c r="I23" s="6" t="str">
        <f t="shared" si="31"/>
        <v/>
      </c>
      <c r="J23" s="4"/>
      <c r="K23" s="5">
        <f>0</f>
        <v>0</v>
      </c>
      <c r="L23" s="5">
        <f t="shared" si="32"/>
        <v>0</v>
      </c>
      <c r="M23" s="6" t="str">
        <f t="shared" si="33"/>
        <v/>
      </c>
      <c r="N23" s="4"/>
      <c r="O23" s="5">
        <f>0</f>
        <v>0</v>
      </c>
      <c r="P23" s="5">
        <f t="shared" si="34"/>
        <v>0</v>
      </c>
      <c r="Q23" s="6" t="str">
        <f t="shared" si="35"/>
        <v/>
      </c>
      <c r="R23" s="5">
        <f>108</f>
        <v>108</v>
      </c>
      <c r="S23" s="5">
        <f>0</f>
        <v>0</v>
      </c>
      <c r="T23" s="5">
        <f t="shared" si="36"/>
        <v>108</v>
      </c>
      <c r="U23" s="6" t="str">
        <f t="shared" si="37"/>
        <v/>
      </c>
      <c r="V23" s="4"/>
      <c r="W23" s="5">
        <f>0</f>
        <v>0</v>
      </c>
      <c r="X23" s="5">
        <f t="shared" si="38"/>
        <v>0</v>
      </c>
      <c r="Y23" s="6" t="str">
        <f t="shared" si="39"/>
        <v/>
      </c>
      <c r="Z23" s="4"/>
      <c r="AA23" s="5">
        <f>0</f>
        <v>0</v>
      </c>
      <c r="AB23" s="5">
        <f t="shared" si="40"/>
        <v>0</v>
      </c>
      <c r="AC23" s="6" t="str">
        <f t="shared" si="41"/>
        <v/>
      </c>
      <c r="AD23" s="5">
        <f>34</f>
        <v>34</v>
      </c>
      <c r="AE23" s="5">
        <f>0</f>
        <v>0</v>
      </c>
      <c r="AF23" s="5">
        <f t="shared" si="42"/>
        <v>34</v>
      </c>
      <c r="AG23" s="6" t="str">
        <f t="shared" si="43"/>
        <v/>
      </c>
      <c r="AH23" s="4"/>
      <c r="AI23" s="5">
        <f>0</f>
        <v>0</v>
      </c>
      <c r="AJ23" s="5">
        <f t="shared" si="44"/>
        <v>0</v>
      </c>
      <c r="AK23" s="6" t="str">
        <f t="shared" si="45"/>
        <v/>
      </c>
      <c r="AL23" s="4"/>
      <c r="AM23" s="5">
        <f>0</f>
        <v>0</v>
      </c>
      <c r="AN23" s="5">
        <f t="shared" si="46"/>
        <v>0</v>
      </c>
      <c r="AO23" s="6" t="str">
        <f t="shared" si="47"/>
        <v/>
      </c>
      <c r="AP23" s="4"/>
      <c r="AQ23" s="5">
        <f>0</f>
        <v>0</v>
      </c>
      <c r="AR23" s="5">
        <f t="shared" si="48"/>
        <v>0</v>
      </c>
      <c r="AS23" s="6" t="str">
        <f t="shared" si="49"/>
        <v/>
      </c>
      <c r="AT23" s="4"/>
      <c r="AU23" s="5">
        <f>0</f>
        <v>0</v>
      </c>
      <c r="AV23" s="5">
        <f t="shared" si="50"/>
        <v>0</v>
      </c>
      <c r="AW23" s="6" t="str">
        <f t="shared" si="51"/>
        <v/>
      </c>
      <c r="AX23" s="20">
        <f t="shared" si="52"/>
        <v>142</v>
      </c>
      <c r="AY23" s="5">
        <f t="shared" si="53"/>
        <v>0</v>
      </c>
      <c r="AZ23" s="5">
        <f t="shared" si="54"/>
        <v>142</v>
      </c>
      <c r="BA23" s="14" t="str">
        <f t="shared" si="55"/>
        <v/>
      </c>
    </row>
    <row r="24" spans="1:54" x14ac:dyDescent="0.25">
      <c r="A24" s="3" t="s">
        <v>33</v>
      </c>
      <c r="B24" s="7">
        <f>(((B20)+(B21))+(B22))+(B23)</f>
        <v>13365.01</v>
      </c>
      <c r="C24" s="7">
        <f>(((C20)+(C21))+(C22))+(C23)</f>
        <v>15343.58</v>
      </c>
      <c r="D24" s="7">
        <f t="shared" si="28"/>
        <v>-1978.5699999999997</v>
      </c>
      <c r="E24" s="8">
        <f t="shared" si="29"/>
        <v>0.87104899899501942</v>
      </c>
      <c r="F24" s="7">
        <f>(((F20)+(F21))+(F22))+(F23)</f>
        <v>20134.730000000003</v>
      </c>
      <c r="G24" s="7">
        <f>(((G20)+(G21))+(G22))+(G23)</f>
        <v>15343.58</v>
      </c>
      <c r="H24" s="7">
        <f t="shared" si="30"/>
        <v>4791.1500000000033</v>
      </c>
      <c r="I24" s="8">
        <f t="shared" si="31"/>
        <v>1.3122576347892736</v>
      </c>
      <c r="J24" s="7">
        <f>(((J20)+(J21))+(J22))+(J23)</f>
        <v>13309.18</v>
      </c>
      <c r="K24" s="7">
        <f>(((K20)+(K21))+(K22))+(K23)</f>
        <v>15343.58</v>
      </c>
      <c r="L24" s="7">
        <f t="shared" si="32"/>
        <v>-2034.3999999999996</v>
      </c>
      <c r="M24" s="8">
        <f t="shared" si="33"/>
        <v>0.86741034360950964</v>
      </c>
      <c r="N24" s="7">
        <f>(((N20)+(N21))+(N22))+(N23)</f>
        <v>13276.710000000001</v>
      </c>
      <c r="O24" s="7">
        <f>(((O20)+(O21))+(O22))+(O23)</f>
        <v>15343.58</v>
      </c>
      <c r="P24" s="7">
        <f t="shared" si="34"/>
        <v>-2066.869999999999</v>
      </c>
      <c r="Q24" s="8">
        <f t="shared" si="35"/>
        <v>0.86529414908385138</v>
      </c>
      <c r="R24" s="7">
        <f>(((R20)+(R21))+(R22))+(R23)</f>
        <v>13967.18</v>
      </c>
      <c r="S24" s="7">
        <f>(((S20)+(S21))+(S22))+(S23)</f>
        <v>15343.58</v>
      </c>
      <c r="T24" s="7">
        <f t="shared" si="36"/>
        <v>-1376.3999999999996</v>
      </c>
      <c r="U24" s="8">
        <f t="shared" si="37"/>
        <v>0.91029472913101117</v>
      </c>
      <c r="V24" s="7">
        <f>(((V20)+(V21))+(V22))+(V23)</f>
        <v>13617.640000000001</v>
      </c>
      <c r="W24" s="7">
        <f>(((W20)+(W21))+(W22))+(W23)</f>
        <v>15343.58</v>
      </c>
      <c r="X24" s="7">
        <f t="shared" si="38"/>
        <v>-1725.9399999999987</v>
      </c>
      <c r="Y24" s="8">
        <f t="shared" si="39"/>
        <v>0.88751386573407254</v>
      </c>
      <c r="Z24" s="7">
        <f>(((Z20)+(Z21))+(Z22))+(Z23)</f>
        <v>13684.16</v>
      </c>
      <c r="AA24" s="7">
        <f>(((AA20)+(AA21))+(AA22))+(AA23)</f>
        <v>15343.58</v>
      </c>
      <c r="AB24" s="7">
        <f t="shared" si="40"/>
        <v>-1659.42</v>
      </c>
      <c r="AC24" s="8">
        <f t="shared" si="41"/>
        <v>0.89184922944971123</v>
      </c>
      <c r="AD24" s="7">
        <f>(((AD20)+(AD21))+(AD22))+(AD23)</f>
        <v>20517.059999999998</v>
      </c>
      <c r="AE24" s="7">
        <f>(((AE20)+(AE21))+(AE22))+(AE23)</f>
        <v>15343.58</v>
      </c>
      <c r="AF24" s="7">
        <f t="shared" si="42"/>
        <v>5173.4799999999977</v>
      </c>
      <c r="AG24" s="8">
        <f t="shared" si="43"/>
        <v>1.3371755483400873</v>
      </c>
      <c r="AH24" s="7">
        <f>(((AH20)+(AH21))+(AH22))+(AH23)</f>
        <v>13546.49</v>
      </c>
      <c r="AI24" s="7">
        <f>(((AI20)+(AI21))+(AI22))+(AI23)</f>
        <v>15343.58</v>
      </c>
      <c r="AJ24" s="7">
        <f t="shared" si="44"/>
        <v>-1797.0900000000001</v>
      </c>
      <c r="AK24" s="8">
        <f t="shared" si="45"/>
        <v>0.88287674714766695</v>
      </c>
      <c r="AL24" s="7">
        <f>(((AL20)+(AL21))+(AL22))+(AL23)</f>
        <v>13800.46</v>
      </c>
      <c r="AM24" s="7">
        <f>(((AM20)+(AM21))+(AM22))+(AM23)</f>
        <v>15343.58</v>
      </c>
      <c r="AN24" s="7">
        <f t="shared" si="46"/>
        <v>-1543.1200000000008</v>
      </c>
      <c r="AO24" s="8">
        <f t="shared" si="47"/>
        <v>0.89942894682987928</v>
      </c>
      <c r="AP24" s="7">
        <f>(((AP20)+(AP21))+(AP22))+(AP23)</f>
        <v>0</v>
      </c>
      <c r="AQ24" s="7">
        <f>(((AQ20)+(AQ21))+(AQ22))+(AQ23)</f>
        <v>15343.58</v>
      </c>
      <c r="AR24" s="7">
        <f t="shared" si="48"/>
        <v>-15343.58</v>
      </c>
      <c r="AS24" s="8">
        <f t="shared" si="49"/>
        <v>0</v>
      </c>
      <c r="AT24" s="7">
        <f>(((AT20)+(AT21))+(AT22))+(AT23)</f>
        <v>0</v>
      </c>
      <c r="AU24" s="7">
        <f>(((AU20)+(AU21))+(AU22))+(AU23)</f>
        <v>15343.62</v>
      </c>
      <c r="AV24" s="7">
        <f t="shared" si="50"/>
        <v>-15343.62</v>
      </c>
      <c r="AW24" s="8">
        <f t="shared" si="51"/>
        <v>0</v>
      </c>
      <c r="AX24" s="21">
        <f t="shared" si="52"/>
        <v>149218.62</v>
      </c>
      <c r="AY24" s="9">
        <f t="shared" si="53"/>
        <v>184122.99999999997</v>
      </c>
      <c r="AZ24" s="9">
        <f t="shared" si="54"/>
        <v>-34904.379999999976</v>
      </c>
      <c r="BA24" s="15">
        <f t="shared" si="55"/>
        <v>0.81042900669661055</v>
      </c>
    </row>
    <row r="25" spans="1:54" x14ac:dyDescent="0.25">
      <c r="A25" s="3" t="s">
        <v>34</v>
      </c>
      <c r="B25" s="4"/>
      <c r="C25" s="4"/>
      <c r="D25" s="5">
        <f t="shared" si="28"/>
        <v>0</v>
      </c>
      <c r="E25" s="6" t="str">
        <f t="shared" si="29"/>
        <v/>
      </c>
      <c r="F25" s="4"/>
      <c r="G25" s="4"/>
      <c r="H25" s="5">
        <f t="shared" si="30"/>
        <v>0</v>
      </c>
      <c r="I25" s="6" t="str">
        <f t="shared" si="31"/>
        <v/>
      </c>
      <c r="J25" s="4"/>
      <c r="K25" s="4"/>
      <c r="L25" s="5">
        <f t="shared" si="32"/>
        <v>0</v>
      </c>
      <c r="M25" s="6" t="str">
        <f t="shared" si="33"/>
        <v/>
      </c>
      <c r="N25" s="4"/>
      <c r="O25" s="4"/>
      <c r="P25" s="5">
        <f t="shared" si="34"/>
        <v>0</v>
      </c>
      <c r="Q25" s="6" t="str">
        <f t="shared" si="35"/>
        <v/>
      </c>
      <c r="R25" s="4"/>
      <c r="S25" s="4"/>
      <c r="T25" s="5">
        <f t="shared" si="36"/>
        <v>0</v>
      </c>
      <c r="U25" s="6" t="str">
        <f t="shared" si="37"/>
        <v/>
      </c>
      <c r="V25" s="4"/>
      <c r="W25" s="4"/>
      <c r="X25" s="5">
        <f t="shared" si="38"/>
        <v>0</v>
      </c>
      <c r="Y25" s="6" t="str">
        <f t="shared" si="39"/>
        <v/>
      </c>
      <c r="Z25" s="4"/>
      <c r="AA25" s="4"/>
      <c r="AB25" s="5">
        <f t="shared" si="40"/>
        <v>0</v>
      </c>
      <c r="AC25" s="6" t="str">
        <f t="shared" si="41"/>
        <v/>
      </c>
      <c r="AD25" s="4"/>
      <c r="AE25" s="4"/>
      <c r="AF25" s="5">
        <f t="shared" si="42"/>
        <v>0</v>
      </c>
      <c r="AG25" s="6" t="str">
        <f t="shared" si="43"/>
        <v/>
      </c>
      <c r="AH25" s="4"/>
      <c r="AI25" s="4"/>
      <c r="AJ25" s="5">
        <f t="shared" si="44"/>
        <v>0</v>
      </c>
      <c r="AK25" s="6" t="str">
        <f t="shared" si="45"/>
        <v/>
      </c>
      <c r="AL25" s="4"/>
      <c r="AM25" s="4"/>
      <c r="AN25" s="5">
        <f t="shared" si="46"/>
        <v>0</v>
      </c>
      <c r="AO25" s="6" t="str">
        <f t="shared" si="47"/>
        <v/>
      </c>
      <c r="AP25" s="4"/>
      <c r="AQ25" s="4"/>
      <c r="AR25" s="5">
        <f t="shared" si="48"/>
        <v>0</v>
      </c>
      <c r="AS25" s="6" t="str">
        <f t="shared" si="49"/>
        <v/>
      </c>
      <c r="AT25" s="4"/>
      <c r="AU25" s="4"/>
      <c r="AV25" s="5">
        <f t="shared" si="50"/>
        <v>0</v>
      </c>
      <c r="AW25" s="6" t="str">
        <f t="shared" si="51"/>
        <v/>
      </c>
      <c r="AX25" s="20">
        <f t="shared" si="52"/>
        <v>0</v>
      </c>
      <c r="AY25" s="5">
        <f t="shared" si="53"/>
        <v>0</v>
      </c>
      <c r="AZ25" s="5">
        <f t="shared" si="54"/>
        <v>0</v>
      </c>
      <c r="BA25" s="14" t="str">
        <f t="shared" si="55"/>
        <v/>
      </c>
    </row>
    <row r="26" spans="1:54" x14ac:dyDescent="0.25">
      <c r="A26" s="3" t="s">
        <v>35</v>
      </c>
      <c r="B26" s="5">
        <f>120.16</f>
        <v>120.16</v>
      </c>
      <c r="C26" s="5">
        <f>66.67</f>
        <v>66.67</v>
      </c>
      <c r="D26" s="5">
        <f t="shared" si="28"/>
        <v>53.489999999999995</v>
      </c>
      <c r="E26" s="6">
        <f t="shared" si="29"/>
        <v>1.8023098845057746</v>
      </c>
      <c r="F26" s="4"/>
      <c r="G26" s="5">
        <f>66.67</f>
        <v>66.67</v>
      </c>
      <c r="H26" s="5">
        <f t="shared" si="30"/>
        <v>-66.67</v>
      </c>
      <c r="I26" s="6">
        <f t="shared" si="31"/>
        <v>0</v>
      </c>
      <c r="J26" s="4"/>
      <c r="K26" s="5">
        <f>66.67</f>
        <v>66.67</v>
      </c>
      <c r="L26" s="5">
        <f t="shared" si="32"/>
        <v>-66.67</v>
      </c>
      <c r="M26" s="6">
        <f t="shared" si="33"/>
        <v>0</v>
      </c>
      <c r="N26" s="5">
        <f>135.26</f>
        <v>135.26</v>
      </c>
      <c r="O26" s="5">
        <f>66.67</f>
        <v>66.67</v>
      </c>
      <c r="P26" s="5">
        <f t="shared" si="34"/>
        <v>68.589999999999989</v>
      </c>
      <c r="Q26" s="6">
        <f t="shared" si="35"/>
        <v>2.028798560071996</v>
      </c>
      <c r="R26" s="4"/>
      <c r="S26" s="5">
        <f>66.67</f>
        <v>66.67</v>
      </c>
      <c r="T26" s="5">
        <f t="shared" si="36"/>
        <v>-66.67</v>
      </c>
      <c r="U26" s="6">
        <f t="shared" si="37"/>
        <v>0</v>
      </c>
      <c r="V26" s="4"/>
      <c r="W26" s="5">
        <f>66.67</f>
        <v>66.67</v>
      </c>
      <c r="X26" s="5">
        <f t="shared" si="38"/>
        <v>-66.67</v>
      </c>
      <c r="Y26" s="6">
        <f t="shared" si="39"/>
        <v>0</v>
      </c>
      <c r="Z26" s="5">
        <f>128.69</f>
        <v>128.69</v>
      </c>
      <c r="AA26" s="5">
        <f>66.67</f>
        <v>66.67</v>
      </c>
      <c r="AB26" s="5">
        <f t="shared" si="40"/>
        <v>62.019999999999996</v>
      </c>
      <c r="AC26" s="6">
        <f t="shared" si="41"/>
        <v>1.9302534873256336</v>
      </c>
      <c r="AD26" s="4"/>
      <c r="AE26" s="5">
        <f>66.67</f>
        <v>66.67</v>
      </c>
      <c r="AF26" s="5">
        <f t="shared" si="42"/>
        <v>-66.67</v>
      </c>
      <c r="AG26" s="6">
        <f t="shared" si="43"/>
        <v>0</v>
      </c>
      <c r="AH26" s="4"/>
      <c r="AI26" s="5">
        <f>66.67</f>
        <v>66.67</v>
      </c>
      <c r="AJ26" s="5">
        <f t="shared" si="44"/>
        <v>-66.67</v>
      </c>
      <c r="AK26" s="6">
        <f t="shared" si="45"/>
        <v>0</v>
      </c>
      <c r="AL26" s="5">
        <f>128.7</f>
        <v>128.69999999999999</v>
      </c>
      <c r="AM26" s="5">
        <f>66.67</f>
        <v>66.67</v>
      </c>
      <c r="AN26" s="5">
        <f t="shared" si="46"/>
        <v>62.029999999999987</v>
      </c>
      <c r="AO26" s="6">
        <f t="shared" si="47"/>
        <v>1.9304034798260086</v>
      </c>
      <c r="AP26" s="4"/>
      <c r="AQ26" s="5">
        <f>66.67</f>
        <v>66.67</v>
      </c>
      <c r="AR26" s="5">
        <f t="shared" si="48"/>
        <v>-66.67</v>
      </c>
      <c r="AS26" s="6">
        <f t="shared" si="49"/>
        <v>0</v>
      </c>
      <c r="AT26" s="4"/>
      <c r="AU26" s="5">
        <f>66.63</f>
        <v>66.63</v>
      </c>
      <c r="AV26" s="5">
        <f t="shared" si="50"/>
        <v>-66.63</v>
      </c>
      <c r="AW26" s="6">
        <f t="shared" si="51"/>
        <v>0</v>
      </c>
      <c r="AX26" s="20">
        <f t="shared" si="52"/>
        <v>512.80999999999995</v>
      </c>
      <c r="AY26" s="5">
        <f t="shared" si="53"/>
        <v>799.99999999999989</v>
      </c>
      <c r="AZ26" s="5">
        <f t="shared" si="54"/>
        <v>-287.18999999999994</v>
      </c>
      <c r="BA26" s="14">
        <f t="shared" si="55"/>
        <v>0.64101249999999999</v>
      </c>
    </row>
    <row r="27" spans="1:54" x14ac:dyDescent="0.25">
      <c r="A27" s="3" t="s">
        <v>36</v>
      </c>
      <c r="B27" s="5">
        <f>103.82</f>
        <v>103.82</v>
      </c>
      <c r="C27" s="5">
        <f>112.5</f>
        <v>112.5</v>
      </c>
      <c r="D27" s="5">
        <f t="shared" si="28"/>
        <v>-8.6800000000000068</v>
      </c>
      <c r="E27" s="6">
        <f t="shared" si="29"/>
        <v>0.92284444444444436</v>
      </c>
      <c r="F27" s="5">
        <f>103.82</f>
        <v>103.82</v>
      </c>
      <c r="G27" s="5">
        <f>112.5</f>
        <v>112.5</v>
      </c>
      <c r="H27" s="5">
        <f t="shared" si="30"/>
        <v>-8.6800000000000068</v>
      </c>
      <c r="I27" s="6">
        <f t="shared" si="31"/>
        <v>0.92284444444444436</v>
      </c>
      <c r="J27" s="5">
        <f>103.82</f>
        <v>103.82</v>
      </c>
      <c r="K27" s="5">
        <f>112.5</f>
        <v>112.5</v>
      </c>
      <c r="L27" s="5">
        <f t="shared" si="32"/>
        <v>-8.6800000000000068</v>
      </c>
      <c r="M27" s="6">
        <f t="shared" si="33"/>
        <v>0.92284444444444436</v>
      </c>
      <c r="N27" s="5">
        <f>103.82</f>
        <v>103.82</v>
      </c>
      <c r="O27" s="5">
        <f>112.5</f>
        <v>112.5</v>
      </c>
      <c r="P27" s="5">
        <f t="shared" si="34"/>
        <v>-8.6800000000000068</v>
      </c>
      <c r="Q27" s="6">
        <f t="shared" si="35"/>
        <v>0.92284444444444436</v>
      </c>
      <c r="R27" s="5">
        <f>103.82</f>
        <v>103.82</v>
      </c>
      <c r="S27" s="5">
        <f>112.5</f>
        <v>112.5</v>
      </c>
      <c r="T27" s="5">
        <f t="shared" si="36"/>
        <v>-8.6800000000000068</v>
      </c>
      <c r="U27" s="6">
        <f t="shared" si="37"/>
        <v>0.92284444444444436</v>
      </c>
      <c r="V27" s="5">
        <f>103.82</f>
        <v>103.82</v>
      </c>
      <c r="W27" s="5">
        <f>112.5</f>
        <v>112.5</v>
      </c>
      <c r="X27" s="5">
        <f t="shared" si="38"/>
        <v>-8.6800000000000068</v>
      </c>
      <c r="Y27" s="6">
        <f t="shared" si="39"/>
        <v>0.92284444444444436</v>
      </c>
      <c r="Z27" s="5">
        <f>103.82</f>
        <v>103.82</v>
      </c>
      <c r="AA27" s="5">
        <f>112.5</f>
        <v>112.5</v>
      </c>
      <c r="AB27" s="5">
        <f t="shared" si="40"/>
        <v>-8.6800000000000068</v>
      </c>
      <c r="AC27" s="6">
        <f t="shared" si="41"/>
        <v>0.92284444444444436</v>
      </c>
      <c r="AD27" s="5">
        <f>103.82</f>
        <v>103.82</v>
      </c>
      <c r="AE27" s="5">
        <f>112.5</f>
        <v>112.5</v>
      </c>
      <c r="AF27" s="5">
        <f t="shared" si="42"/>
        <v>-8.6800000000000068</v>
      </c>
      <c r="AG27" s="6">
        <f t="shared" si="43"/>
        <v>0.92284444444444436</v>
      </c>
      <c r="AH27" s="5">
        <f>103.82</f>
        <v>103.82</v>
      </c>
      <c r="AI27" s="5">
        <f>112.5</f>
        <v>112.5</v>
      </c>
      <c r="AJ27" s="5">
        <f t="shared" si="44"/>
        <v>-8.6800000000000068</v>
      </c>
      <c r="AK27" s="6">
        <f t="shared" si="45"/>
        <v>0.92284444444444436</v>
      </c>
      <c r="AL27" s="5">
        <f>103.82</f>
        <v>103.82</v>
      </c>
      <c r="AM27" s="5">
        <f>112.5</f>
        <v>112.5</v>
      </c>
      <c r="AN27" s="5">
        <f t="shared" si="46"/>
        <v>-8.6800000000000068</v>
      </c>
      <c r="AO27" s="6">
        <f t="shared" si="47"/>
        <v>0.92284444444444436</v>
      </c>
      <c r="AP27" s="5"/>
      <c r="AQ27" s="5">
        <f>112.5</f>
        <v>112.5</v>
      </c>
      <c r="AR27" s="5">
        <f t="shared" si="48"/>
        <v>-112.5</v>
      </c>
      <c r="AS27" s="6">
        <f t="shared" si="49"/>
        <v>0</v>
      </c>
      <c r="AT27" s="4"/>
      <c r="AU27" s="5">
        <f>112.5</f>
        <v>112.5</v>
      </c>
      <c r="AV27" s="5">
        <f t="shared" si="50"/>
        <v>-112.5</v>
      </c>
      <c r="AW27" s="6">
        <f t="shared" si="51"/>
        <v>0</v>
      </c>
      <c r="AX27" s="20">
        <f t="shared" si="52"/>
        <v>1038.1999999999996</v>
      </c>
      <c r="AY27" s="5">
        <f t="shared" si="53"/>
        <v>1350</v>
      </c>
      <c r="AZ27" s="5">
        <f t="shared" si="54"/>
        <v>-311.80000000000041</v>
      </c>
      <c r="BA27" s="14">
        <f t="shared" si="55"/>
        <v>0.76903703703703674</v>
      </c>
    </row>
    <row r="28" spans="1:54" x14ac:dyDescent="0.25">
      <c r="A28" s="3" t="s">
        <v>37</v>
      </c>
      <c r="B28" s="5">
        <f>60.27</f>
        <v>60.27</v>
      </c>
      <c r="C28" s="5">
        <f>83.33</f>
        <v>83.33</v>
      </c>
      <c r="D28" s="5">
        <f t="shared" si="28"/>
        <v>-23.059999999999995</v>
      </c>
      <c r="E28" s="6">
        <f t="shared" si="29"/>
        <v>0.72326893075723031</v>
      </c>
      <c r="F28" s="5">
        <f>40.14</f>
        <v>40.14</v>
      </c>
      <c r="G28" s="5">
        <f>83.33</f>
        <v>83.33</v>
      </c>
      <c r="H28" s="5">
        <f t="shared" si="30"/>
        <v>-43.19</v>
      </c>
      <c r="I28" s="6">
        <f t="shared" si="31"/>
        <v>0.48169926797071883</v>
      </c>
      <c r="J28" s="5">
        <f>38.09</f>
        <v>38.090000000000003</v>
      </c>
      <c r="K28" s="5">
        <f>83.33</f>
        <v>83.33</v>
      </c>
      <c r="L28" s="5">
        <f t="shared" si="32"/>
        <v>-45.239999999999995</v>
      </c>
      <c r="M28" s="6">
        <f t="shared" si="33"/>
        <v>0.45709828393135732</v>
      </c>
      <c r="N28" s="5">
        <f>24.42</f>
        <v>24.42</v>
      </c>
      <c r="O28" s="5">
        <f>83.33</f>
        <v>83.33</v>
      </c>
      <c r="P28" s="5">
        <f t="shared" si="34"/>
        <v>-58.91</v>
      </c>
      <c r="Q28" s="6">
        <f t="shared" si="35"/>
        <v>0.2930517220688828</v>
      </c>
      <c r="R28" s="5">
        <f>55.18</f>
        <v>55.18</v>
      </c>
      <c r="S28" s="5">
        <f>83.33</f>
        <v>83.33</v>
      </c>
      <c r="T28" s="5">
        <f t="shared" si="36"/>
        <v>-28.15</v>
      </c>
      <c r="U28" s="6">
        <f t="shared" si="37"/>
        <v>0.66218648745949837</v>
      </c>
      <c r="V28" s="5">
        <f>40.15</f>
        <v>40.15</v>
      </c>
      <c r="W28" s="5">
        <f>83.33</f>
        <v>83.33</v>
      </c>
      <c r="X28" s="5">
        <f t="shared" si="38"/>
        <v>-43.18</v>
      </c>
      <c r="Y28" s="6">
        <f t="shared" si="39"/>
        <v>0.48181927277091086</v>
      </c>
      <c r="Z28" s="5">
        <f>60.31</f>
        <v>60.31</v>
      </c>
      <c r="AA28" s="5">
        <f>83.33</f>
        <v>83.33</v>
      </c>
      <c r="AB28" s="5">
        <f t="shared" si="40"/>
        <v>-23.019999999999996</v>
      </c>
      <c r="AC28" s="6">
        <f t="shared" si="41"/>
        <v>0.72374894995799832</v>
      </c>
      <c r="AD28" s="5">
        <f>40.55</f>
        <v>40.549999999999997</v>
      </c>
      <c r="AE28" s="5">
        <f>83.33</f>
        <v>83.33</v>
      </c>
      <c r="AF28" s="5">
        <f t="shared" si="42"/>
        <v>-42.78</v>
      </c>
      <c r="AG28" s="6">
        <f t="shared" si="43"/>
        <v>0.48661946477859114</v>
      </c>
      <c r="AH28" s="5">
        <f>40.54</f>
        <v>40.54</v>
      </c>
      <c r="AI28" s="5">
        <f>83.33</f>
        <v>83.33</v>
      </c>
      <c r="AJ28" s="5">
        <f t="shared" si="44"/>
        <v>-42.79</v>
      </c>
      <c r="AK28" s="6">
        <f t="shared" si="45"/>
        <v>0.48649945997839916</v>
      </c>
      <c r="AL28" s="5">
        <f>40.37</f>
        <v>40.369999999999997</v>
      </c>
      <c r="AM28" s="5">
        <f>83.33</f>
        <v>83.33</v>
      </c>
      <c r="AN28" s="5">
        <f t="shared" si="46"/>
        <v>-42.96</v>
      </c>
      <c r="AO28" s="6">
        <f t="shared" si="47"/>
        <v>0.48445937837513497</v>
      </c>
      <c r="AP28" s="5"/>
      <c r="AQ28" s="5">
        <f>83.33</f>
        <v>83.33</v>
      </c>
      <c r="AR28" s="5">
        <f t="shared" si="48"/>
        <v>-83.33</v>
      </c>
      <c r="AS28" s="6">
        <f t="shared" si="49"/>
        <v>0</v>
      </c>
      <c r="AT28" s="4"/>
      <c r="AU28" s="5">
        <f>83.37</f>
        <v>83.37</v>
      </c>
      <c r="AV28" s="5">
        <f t="shared" si="50"/>
        <v>-83.37</v>
      </c>
      <c r="AW28" s="6">
        <f t="shared" si="51"/>
        <v>0</v>
      </c>
      <c r="AX28" s="20">
        <f t="shared" si="52"/>
        <v>440.02000000000004</v>
      </c>
      <c r="AY28" s="5">
        <f t="shared" si="53"/>
        <v>1000.0000000000001</v>
      </c>
      <c r="AZ28" s="5">
        <f t="shared" si="54"/>
        <v>-559.98</v>
      </c>
      <c r="BA28" s="14">
        <f t="shared" si="55"/>
        <v>0.44001999999999997</v>
      </c>
    </row>
    <row r="29" spans="1:54" x14ac:dyDescent="0.25">
      <c r="A29" s="3" t="s">
        <v>38</v>
      </c>
      <c r="B29" s="5">
        <f>3004.68</f>
        <v>3004.68</v>
      </c>
      <c r="C29" s="5">
        <f>2708.33</f>
        <v>2708.33</v>
      </c>
      <c r="D29" s="5">
        <f t="shared" si="28"/>
        <v>296.34999999999991</v>
      </c>
      <c r="E29" s="6">
        <f t="shared" si="29"/>
        <v>1.1094216731343669</v>
      </c>
      <c r="F29" s="5">
        <f>3004.68</f>
        <v>3004.68</v>
      </c>
      <c r="G29" s="5">
        <f>2708.33</f>
        <v>2708.33</v>
      </c>
      <c r="H29" s="5">
        <f t="shared" si="30"/>
        <v>296.34999999999991</v>
      </c>
      <c r="I29" s="6">
        <f t="shared" si="31"/>
        <v>1.1094216731343669</v>
      </c>
      <c r="J29" s="5">
        <f>3004.68</f>
        <v>3004.68</v>
      </c>
      <c r="K29" s="5">
        <f>2708.33</f>
        <v>2708.33</v>
      </c>
      <c r="L29" s="5">
        <f t="shared" si="32"/>
        <v>296.34999999999991</v>
      </c>
      <c r="M29" s="6">
        <f t="shared" si="33"/>
        <v>1.1094216731343669</v>
      </c>
      <c r="N29" s="5">
        <f>3004.68</f>
        <v>3004.68</v>
      </c>
      <c r="O29" s="5">
        <f>2708.33</f>
        <v>2708.33</v>
      </c>
      <c r="P29" s="5">
        <f t="shared" si="34"/>
        <v>296.34999999999991</v>
      </c>
      <c r="Q29" s="6">
        <f t="shared" si="35"/>
        <v>1.1094216731343669</v>
      </c>
      <c r="R29" s="5">
        <f>3004.68</f>
        <v>3004.68</v>
      </c>
      <c r="S29" s="5">
        <f>2708.33</f>
        <v>2708.33</v>
      </c>
      <c r="T29" s="5">
        <f t="shared" si="36"/>
        <v>296.34999999999991</v>
      </c>
      <c r="U29" s="6">
        <f t="shared" si="37"/>
        <v>1.1094216731343669</v>
      </c>
      <c r="V29" s="5">
        <f>3004.68</f>
        <v>3004.68</v>
      </c>
      <c r="W29" s="5">
        <f>2708.33</f>
        <v>2708.33</v>
      </c>
      <c r="X29" s="5">
        <f t="shared" si="38"/>
        <v>296.34999999999991</v>
      </c>
      <c r="Y29" s="6">
        <f t="shared" si="39"/>
        <v>1.1094216731343669</v>
      </c>
      <c r="Z29" s="5">
        <f>2748.63</f>
        <v>2748.63</v>
      </c>
      <c r="AA29" s="5">
        <f>2708.33</f>
        <v>2708.33</v>
      </c>
      <c r="AB29" s="5">
        <f t="shared" si="40"/>
        <v>40.300000000000182</v>
      </c>
      <c r="AC29" s="6">
        <f t="shared" si="41"/>
        <v>1.0148800183138689</v>
      </c>
      <c r="AD29" s="5">
        <f>1913.53</f>
        <v>1913.53</v>
      </c>
      <c r="AE29" s="5">
        <f>2708.33</f>
        <v>2708.33</v>
      </c>
      <c r="AF29" s="5">
        <f t="shared" si="42"/>
        <v>-794.8</v>
      </c>
      <c r="AG29" s="6">
        <f t="shared" si="43"/>
        <v>0.70653502342772112</v>
      </c>
      <c r="AH29" s="5">
        <f>1913.53</f>
        <v>1913.53</v>
      </c>
      <c r="AI29" s="5">
        <f>2708.33</f>
        <v>2708.33</v>
      </c>
      <c r="AJ29" s="5">
        <f t="shared" si="44"/>
        <v>-794.8</v>
      </c>
      <c r="AK29" s="6">
        <f t="shared" si="45"/>
        <v>0.70653502342772112</v>
      </c>
      <c r="AL29" s="5">
        <f>1913.53</f>
        <v>1913.53</v>
      </c>
      <c r="AM29" s="5">
        <f>2708.33</f>
        <v>2708.33</v>
      </c>
      <c r="AN29" s="5">
        <f t="shared" si="46"/>
        <v>-794.8</v>
      </c>
      <c r="AO29" s="6">
        <f t="shared" si="47"/>
        <v>0.70653502342772112</v>
      </c>
      <c r="AP29" s="5"/>
      <c r="AQ29" s="5">
        <f>2708.33</f>
        <v>2708.33</v>
      </c>
      <c r="AR29" s="5">
        <f t="shared" si="48"/>
        <v>-2708.33</v>
      </c>
      <c r="AS29" s="6">
        <f t="shared" si="49"/>
        <v>0</v>
      </c>
      <c r="AT29" s="4"/>
      <c r="AU29" s="5">
        <f>2708.37</f>
        <v>2708.37</v>
      </c>
      <c r="AV29" s="5">
        <f t="shared" si="50"/>
        <v>-2708.37</v>
      </c>
      <c r="AW29" s="6">
        <f t="shared" si="51"/>
        <v>0</v>
      </c>
      <c r="AX29" s="20">
        <f t="shared" si="52"/>
        <v>26517.299999999996</v>
      </c>
      <c r="AY29" s="5">
        <f t="shared" si="53"/>
        <v>32500.000000000004</v>
      </c>
      <c r="AZ29" s="5">
        <f t="shared" si="54"/>
        <v>-5982.700000000008</v>
      </c>
      <c r="BA29" s="14">
        <f t="shared" si="55"/>
        <v>0.81591692307692287</v>
      </c>
    </row>
    <row r="30" spans="1:54" x14ac:dyDescent="0.25">
      <c r="A30" s="3" t="s">
        <v>39</v>
      </c>
      <c r="B30" s="7">
        <f>((((B25)+(B26))+(B27))+(B28))+(B29)</f>
        <v>3288.93</v>
      </c>
      <c r="C30" s="7">
        <f>((((C25)+(C26))+(C27))+(C28))+(C29)</f>
        <v>2970.83</v>
      </c>
      <c r="D30" s="7">
        <f t="shared" si="28"/>
        <v>318.09999999999991</v>
      </c>
      <c r="E30" s="8">
        <f t="shared" si="29"/>
        <v>1.1070744539404813</v>
      </c>
      <c r="F30" s="7">
        <f>((((F25)+(F26))+(F27))+(F28))+(F29)</f>
        <v>3148.64</v>
      </c>
      <c r="G30" s="7">
        <f>((((G25)+(G26))+(G27))+(G28))+(G29)</f>
        <v>2970.83</v>
      </c>
      <c r="H30" s="7">
        <f t="shared" si="30"/>
        <v>177.80999999999995</v>
      </c>
      <c r="I30" s="8">
        <f t="shared" si="31"/>
        <v>1.0598519605632095</v>
      </c>
      <c r="J30" s="7">
        <f>((((J25)+(J26))+(J27))+(J28))+(J29)</f>
        <v>3146.5899999999997</v>
      </c>
      <c r="K30" s="7">
        <f>((((K25)+(K26))+(K27))+(K28))+(K29)</f>
        <v>2970.83</v>
      </c>
      <c r="L30" s="7">
        <f t="shared" si="32"/>
        <v>175.75999999999976</v>
      </c>
      <c r="M30" s="8">
        <f t="shared" si="33"/>
        <v>1.0591619177132316</v>
      </c>
      <c r="N30" s="7">
        <f>((((N25)+(N26))+(N27))+(N28))+(N29)</f>
        <v>3268.18</v>
      </c>
      <c r="O30" s="7">
        <f>((((O25)+(O26))+(O27))+(O28))+(O29)</f>
        <v>2970.83</v>
      </c>
      <c r="P30" s="7">
        <f t="shared" si="34"/>
        <v>297.34999999999991</v>
      </c>
      <c r="Q30" s="8">
        <f t="shared" si="35"/>
        <v>1.1000898738736313</v>
      </c>
      <c r="R30" s="7">
        <f>((((R25)+(R26))+(R27))+(R28))+(R29)</f>
        <v>3163.68</v>
      </c>
      <c r="S30" s="7">
        <f>((((S25)+(S26))+(S27))+(S28))+(S29)</f>
        <v>2970.83</v>
      </c>
      <c r="T30" s="7">
        <f t="shared" si="36"/>
        <v>192.84999999999991</v>
      </c>
      <c r="U30" s="8">
        <f t="shared" si="37"/>
        <v>1.0649145188381697</v>
      </c>
      <c r="V30" s="7">
        <f>((((V25)+(V26))+(V27))+(V28))+(V29)</f>
        <v>3148.6499999999996</v>
      </c>
      <c r="W30" s="7">
        <f>((((W25)+(W26))+(W27))+(W28))+(W29)</f>
        <v>2970.83</v>
      </c>
      <c r="X30" s="7">
        <f t="shared" si="38"/>
        <v>177.81999999999971</v>
      </c>
      <c r="Y30" s="8">
        <f t="shared" si="39"/>
        <v>1.0598553266258923</v>
      </c>
      <c r="Z30" s="7">
        <f>((((Z25)+(Z26))+(Z27))+(Z28))+(Z29)</f>
        <v>3041.4500000000003</v>
      </c>
      <c r="AA30" s="7">
        <f>((((AA25)+(AA26))+(AA27))+(AA28))+(AA29)</f>
        <v>2970.83</v>
      </c>
      <c r="AB30" s="7">
        <f t="shared" si="40"/>
        <v>70.620000000000346</v>
      </c>
      <c r="AC30" s="8">
        <f t="shared" si="41"/>
        <v>1.0237711346660698</v>
      </c>
      <c r="AD30" s="7">
        <f>((((AD25)+(AD26))+(AD27))+(AD28))+(AD29)</f>
        <v>2057.9</v>
      </c>
      <c r="AE30" s="7">
        <f>((((AE25)+(AE26))+(AE27))+(AE28))+(AE29)</f>
        <v>2970.83</v>
      </c>
      <c r="AF30" s="7">
        <f t="shared" si="42"/>
        <v>-912.92999999999984</v>
      </c>
      <c r="AG30" s="8">
        <f t="shared" si="43"/>
        <v>0.69270203949737952</v>
      </c>
      <c r="AH30" s="7">
        <f>((((AH25)+(AH26))+(AH27))+(AH28))+(AH29)</f>
        <v>2057.89</v>
      </c>
      <c r="AI30" s="7">
        <f>((((AI25)+(AI26))+(AI27))+(AI28))+(AI29)</f>
        <v>2970.83</v>
      </c>
      <c r="AJ30" s="7">
        <f t="shared" si="44"/>
        <v>-912.94</v>
      </c>
      <c r="AK30" s="8">
        <f t="shared" si="45"/>
        <v>0.69269867343469671</v>
      </c>
      <c r="AL30" s="7">
        <f>((((AL25)+(AL26))+(AL27))+(AL28))+(AL29)</f>
        <v>2186.42</v>
      </c>
      <c r="AM30" s="7">
        <f>((((AM25)+(AM26))+(AM27))+(AM28))+(AM29)</f>
        <v>2970.83</v>
      </c>
      <c r="AN30" s="7">
        <f t="shared" si="46"/>
        <v>-784.40999999999985</v>
      </c>
      <c r="AO30" s="8">
        <f t="shared" si="47"/>
        <v>0.73596267709697294</v>
      </c>
      <c r="AP30" s="7">
        <f>((((AP25)+(AP26))+(AP27))+(AP28))+(AP29)</f>
        <v>0</v>
      </c>
      <c r="AQ30" s="7">
        <f>((((AQ25)+(AQ26))+(AQ27))+(AQ28))+(AQ29)</f>
        <v>2970.83</v>
      </c>
      <c r="AR30" s="7">
        <f t="shared" si="48"/>
        <v>-2970.83</v>
      </c>
      <c r="AS30" s="8">
        <f t="shared" si="49"/>
        <v>0</v>
      </c>
      <c r="AT30" s="7">
        <f>((((AT25)+(AT26))+(AT27))+(AT28))+(AT29)</f>
        <v>0</v>
      </c>
      <c r="AU30" s="7">
        <f>((((AU25)+(AU26))+(AU27))+(AU28))+(AU29)</f>
        <v>2970.87</v>
      </c>
      <c r="AV30" s="7">
        <f t="shared" si="50"/>
        <v>-2970.87</v>
      </c>
      <c r="AW30" s="8">
        <f t="shared" si="51"/>
        <v>0</v>
      </c>
      <c r="AX30" s="21">
        <f t="shared" si="52"/>
        <v>28508.33</v>
      </c>
      <c r="AY30" s="9">
        <f t="shared" si="53"/>
        <v>35650.000000000007</v>
      </c>
      <c r="AZ30" s="9">
        <f t="shared" si="54"/>
        <v>-7141.6700000000055</v>
      </c>
      <c r="BA30" s="15">
        <f t="shared" si="55"/>
        <v>0.79967265077138838</v>
      </c>
    </row>
    <row r="31" spans="1:54" x14ac:dyDescent="0.25">
      <c r="A31" s="3" t="s">
        <v>40</v>
      </c>
      <c r="B31" s="5">
        <f>1193.58</f>
        <v>1193.58</v>
      </c>
      <c r="C31" s="5">
        <f>1088.08</f>
        <v>1088.08</v>
      </c>
      <c r="D31" s="5">
        <f t="shared" si="28"/>
        <v>105.5</v>
      </c>
      <c r="E31" s="6">
        <f t="shared" si="29"/>
        <v>1.0969597823689434</v>
      </c>
      <c r="F31" s="5">
        <f>925.68</f>
        <v>925.68</v>
      </c>
      <c r="G31" s="5">
        <f>1088.08</f>
        <v>1088.08</v>
      </c>
      <c r="H31" s="5">
        <f t="shared" si="30"/>
        <v>-162.39999999999998</v>
      </c>
      <c r="I31" s="6">
        <f t="shared" si="31"/>
        <v>0.85074626865671643</v>
      </c>
      <c r="J31" s="5">
        <f>928.67</f>
        <v>928.67</v>
      </c>
      <c r="K31" s="5">
        <f>1088.08</f>
        <v>1088.08</v>
      </c>
      <c r="L31" s="5">
        <f t="shared" si="32"/>
        <v>-159.40999999999997</v>
      </c>
      <c r="M31" s="6">
        <f t="shared" si="33"/>
        <v>0.85349422836556132</v>
      </c>
      <c r="N31" s="5">
        <f>945.31</f>
        <v>945.31</v>
      </c>
      <c r="O31" s="5">
        <f>1088.08</f>
        <v>1088.08</v>
      </c>
      <c r="P31" s="5">
        <f t="shared" si="34"/>
        <v>-142.76999999999998</v>
      </c>
      <c r="Q31" s="6">
        <f t="shared" si="35"/>
        <v>0.86878722152782883</v>
      </c>
      <c r="R31" s="5">
        <f>929.25</f>
        <v>929.25</v>
      </c>
      <c r="S31" s="5">
        <f>1088.08</f>
        <v>1088.08</v>
      </c>
      <c r="T31" s="5">
        <f t="shared" si="36"/>
        <v>-158.82999999999993</v>
      </c>
      <c r="U31" s="6">
        <f t="shared" si="37"/>
        <v>0.85402727740607309</v>
      </c>
      <c r="V31" s="5">
        <f>925.68</f>
        <v>925.68</v>
      </c>
      <c r="W31" s="5">
        <f>1088.08</f>
        <v>1088.08</v>
      </c>
      <c r="X31" s="5">
        <f t="shared" si="38"/>
        <v>-162.39999999999998</v>
      </c>
      <c r="Y31" s="6">
        <f t="shared" si="39"/>
        <v>0.85074626865671643</v>
      </c>
      <c r="Z31" s="4"/>
      <c r="AA31" s="5">
        <f>1088.08</f>
        <v>1088.08</v>
      </c>
      <c r="AB31" s="5">
        <f t="shared" si="40"/>
        <v>-1088.08</v>
      </c>
      <c r="AC31" s="6">
        <f t="shared" si="41"/>
        <v>0</v>
      </c>
      <c r="AD31" s="5">
        <f>2094.54</f>
        <v>2094.54</v>
      </c>
      <c r="AE31" s="5">
        <f>1088.08</f>
        <v>1088.08</v>
      </c>
      <c r="AF31" s="5">
        <f t="shared" si="42"/>
        <v>1006.46</v>
      </c>
      <c r="AG31" s="6">
        <f t="shared" si="43"/>
        <v>1.9249871332990223</v>
      </c>
      <c r="AH31" s="5">
        <f>1624.56</f>
        <v>1624.56</v>
      </c>
      <c r="AI31" s="5">
        <f>1088.08</f>
        <v>1088.08</v>
      </c>
      <c r="AJ31" s="5">
        <f t="shared" si="44"/>
        <v>536.48</v>
      </c>
      <c r="AK31" s="6">
        <f t="shared" si="45"/>
        <v>1.4930519814719507</v>
      </c>
      <c r="AL31" s="5">
        <f>1124.95</f>
        <v>1124.95</v>
      </c>
      <c r="AM31" s="5">
        <f>1088.08</f>
        <v>1088.08</v>
      </c>
      <c r="AN31" s="5">
        <f t="shared" si="46"/>
        <v>36.870000000000118</v>
      </c>
      <c r="AO31" s="6">
        <f t="shared" si="47"/>
        <v>1.0338853760752886</v>
      </c>
      <c r="AP31" s="4"/>
      <c r="AQ31" s="5">
        <f>1088.08</f>
        <v>1088.08</v>
      </c>
      <c r="AR31" s="5">
        <f t="shared" si="48"/>
        <v>-1088.08</v>
      </c>
      <c r="AS31" s="6">
        <f t="shared" si="49"/>
        <v>0</v>
      </c>
      <c r="AT31" s="4"/>
      <c r="AU31" s="5">
        <f>1088.12</f>
        <v>1088.1199999999999</v>
      </c>
      <c r="AV31" s="5">
        <f t="shared" si="50"/>
        <v>-1088.1199999999999</v>
      </c>
      <c r="AW31" s="6">
        <f t="shared" si="51"/>
        <v>0</v>
      </c>
      <c r="AX31" s="20">
        <f t="shared" si="52"/>
        <v>10692.220000000001</v>
      </c>
      <c r="AY31" s="5">
        <f t="shared" si="53"/>
        <v>13057</v>
      </c>
      <c r="AZ31" s="5">
        <f t="shared" si="54"/>
        <v>-2364.7799999999988</v>
      </c>
      <c r="BA31" s="14">
        <f t="shared" si="55"/>
        <v>0.81888795282224103</v>
      </c>
    </row>
    <row r="32" spans="1:54" hidden="1" x14ac:dyDescent="0.25">
      <c r="A32" s="3" t="s">
        <v>41</v>
      </c>
      <c r="B32" s="4"/>
      <c r="C32" s="5">
        <f>0</f>
        <v>0</v>
      </c>
      <c r="D32" s="5">
        <f t="shared" si="28"/>
        <v>0</v>
      </c>
      <c r="E32" s="6" t="str">
        <f t="shared" si="29"/>
        <v/>
      </c>
      <c r="F32" s="4"/>
      <c r="G32" s="5">
        <f>0</f>
        <v>0</v>
      </c>
      <c r="H32" s="5">
        <f t="shared" si="30"/>
        <v>0</v>
      </c>
      <c r="I32" s="6" t="str">
        <f t="shared" si="31"/>
        <v/>
      </c>
      <c r="J32" s="4"/>
      <c r="K32" s="5">
        <f>0</f>
        <v>0</v>
      </c>
      <c r="L32" s="5">
        <f t="shared" si="32"/>
        <v>0</v>
      </c>
      <c r="M32" s="6" t="str">
        <f t="shared" si="33"/>
        <v/>
      </c>
      <c r="N32" s="4"/>
      <c r="O32" s="5">
        <f>0</f>
        <v>0</v>
      </c>
      <c r="P32" s="5">
        <f t="shared" si="34"/>
        <v>0</v>
      </c>
      <c r="Q32" s="6" t="str">
        <f t="shared" si="35"/>
        <v/>
      </c>
      <c r="R32" s="4"/>
      <c r="S32" s="5">
        <f>0</f>
        <v>0</v>
      </c>
      <c r="T32" s="5">
        <f t="shared" si="36"/>
        <v>0</v>
      </c>
      <c r="U32" s="6" t="str">
        <f t="shared" si="37"/>
        <v/>
      </c>
      <c r="V32" s="4"/>
      <c r="W32" s="5">
        <f>0</f>
        <v>0</v>
      </c>
      <c r="X32" s="5">
        <f t="shared" si="38"/>
        <v>0</v>
      </c>
      <c r="Y32" s="6" t="str">
        <f t="shared" si="39"/>
        <v/>
      </c>
      <c r="Z32" s="4"/>
      <c r="AA32" s="5">
        <f>0</f>
        <v>0</v>
      </c>
      <c r="AB32" s="5">
        <f t="shared" si="40"/>
        <v>0</v>
      </c>
      <c r="AC32" s="6" t="str">
        <f t="shared" si="41"/>
        <v/>
      </c>
      <c r="AD32" s="4"/>
      <c r="AE32" s="5">
        <f>0</f>
        <v>0</v>
      </c>
      <c r="AF32" s="5">
        <f t="shared" si="42"/>
        <v>0</v>
      </c>
      <c r="AG32" s="6" t="str">
        <f t="shared" si="43"/>
        <v/>
      </c>
      <c r="AH32" s="4"/>
      <c r="AI32" s="5">
        <f>0</f>
        <v>0</v>
      </c>
      <c r="AJ32" s="5">
        <f t="shared" si="44"/>
        <v>0</v>
      </c>
      <c r="AK32" s="6" t="str">
        <f t="shared" si="45"/>
        <v/>
      </c>
      <c r="AL32" s="4"/>
      <c r="AM32" s="5">
        <f>0</f>
        <v>0</v>
      </c>
      <c r="AN32" s="5">
        <f t="shared" si="46"/>
        <v>0</v>
      </c>
      <c r="AO32" s="6" t="str">
        <f t="shared" si="47"/>
        <v/>
      </c>
      <c r="AP32" s="4"/>
      <c r="AQ32" s="5">
        <f>0</f>
        <v>0</v>
      </c>
      <c r="AR32" s="5">
        <f t="shared" si="48"/>
        <v>0</v>
      </c>
      <c r="AS32" s="6" t="str">
        <f t="shared" si="49"/>
        <v/>
      </c>
      <c r="AT32" s="4"/>
      <c r="AU32" s="5">
        <f>0</f>
        <v>0</v>
      </c>
      <c r="AV32" s="5">
        <f t="shared" si="50"/>
        <v>0</v>
      </c>
      <c r="AW32" s="6" t="str">
        <f t="shared" si="51"/>
        <v/>
      </c>
      <c r="AX32" s="20">
        <f t="shared" si="52"/>
        <v>0</v>
      </c>
      <c r="AY32" s="5">
        <f t="shared" si="53"/>
        <v>0</v>
      </c>
      <c r="AZ32" s="5">
        <f t="shared" si="54"/>
        <v>0</v>
      </c>
      <c r="BA32" s="14" t="str">
        <f t="shared" si="55"/>
        <v/>
      </c>
    </row>
    <row r="33" spans="1:53" x14ac:dyDescent="0.25">
      <c r="A33" s="3" t="s">
        <v>42</v>
      </c>
      <c r="B33" s="7">
        <f>(B31)+(B32)</f>
        <v>1193.58</v>
      </c>
      <c r="C33" s="7">
        <f>(C31)+(C32)</f>
        <v>1088.08</v>
      </c>
      <c r="D33" s="7">
        <f t="shared" si="28"/>
        <v>105.5</v>
      </c>
      <c r="E33" s="8">
        <f t="shared" si="29"/>
        <v>1.0969597823689434</v>
      </c>
      <c r="F33" s="7">
        <f>(F31)+(F32)</f>
        <v>925.68</v>
      </c>
      <c r="G33" s="7">
        <f>(G31)+(G32)</f>
        <v>1088.08</v>
      </c>
      <c r="H33" s="7">
        <f t="shared" si="30"/>
        <v>-162.39999999999998</v>
      </c>
      <c r="I33" s="8">
        <f t="shared" si="31"/>
        <v>0.85074626865671643</v>
      </c>
      <c r="J33" s="7">
        <f>(J31)+(J32)</f>
        <v>928.67</v>
      </c>
      <c r="K33" s="7">
        <f>(K31)+(K32)</f>
        <v>1088.08</v>
      </c>
      <c r="L33" s="7">
        <f t="shared" si="32"/>
        <v>-159.40999999999997</v>
      </c>
      <c r="M33" s="8">
        <f t="shared" si="33"/>
        <v>0.85349422836556132</v>
      </c>
      <c r="N33" s="7">
        <f>(N31)+(N32)</f>
        <v>945.31</v>
      </c>
      <c r="O33" s="7">
        <f>(O31)+(O32)</f>
        <v>1088.08</v>
      </c>
      <c r="P33" s="7">
        <f t="shared" si="34"/>
        <v>-142.76999999999998</v>
      </c>
      <c r="Q33" s="8">
        <f t="shared" si="35"/>
        <v>0.86878722152782883</v>
      </c>
      <c r="R33" s="7">
        <f>(R31)+(R32)</f>
        <v>929.25</v>
      </c>
      <c r="S33" s="7">
        <f>(S31)+(S32)</f>
        <v>1088.08</v>
      </c>
      <c r="T33" s="7">
        <f t="shared" si="36"/>
        <v>-158.82999999999993</v>
      </c>
      <c r="U33" s="8">
        <f t="shared" si="37"/>
        <v>0.85402727740607309</v>
      </c>
      <c r="V33" s="7">
        <f>(V31)+(V32)</f>
        <v>925.68</v>
      </c>
      <c r="W33" s="7">
        <f>(W31)+(W32)</f>
        <v>1088.08</v>
      </c>
      <c r="X33" s="7">
        <f t="shared" si="38"/>
        <v>-162.39999999999998</v>
      </c>
      <c r="Y33" s="8">
        <f t="shared" si="39"/>
        <v>0.85074626865671643</v>
      </c>
      <c r="Z33" s="7">
        <f>(Z31)+(Z32)</f>
        <v>0</v>
      </c>
      <c r="AA33" s="7">
        <f>(AA31)+(AA32)</f>
        <v>1088.08</v>
      </c>
      <c r="AB33" s="7">
        <f t="shared" si="40"/>
        <v>-1088.08</v>
      </c>
      <c r="AC33" s="8">
        <f t="shared" si="41"/>
        <v>0</v>
      </c>
      <c r="AD33" s="7">
        <f>(AD31)+(AD32)</f>
        <v>2094.54</v>
      </c>
      <c r="AE33" s="7">
        <f>(AE31)+(AE32)</f>
        <v>1088.08</v>
      </c>
      <c r="AF33" s="7">
        <f t="shared" si="42"/>
        <v>1006.46</v>
      </c>
      <c r="AG33" s="8">
        <f t="shared" si="43"/>
        <v>1.9249871332990223</v>
      </c>
      <c r="AH33" s="7">
        <f>(AH31)+(AH32)</f>
        <v>1624.56</v>
      </c>
      <c r="AI33" s="7">
        <f>(AI31)+(AI32)</f>
        <v>1088.08</v>
      </c>
      <c r="AJ33" s="7">
        <f t="shared" si="44"/>
        <v>536.48</v>
      </c>
      <c r="AK33" s="8">
        <f t="shared" si="45"/>
        <v>1.4930519814719507</v>
      </c>
      <c r="AL33" s="7">
        <f>(AL31)+(AL32)</f>
        <v>1124.95</v>
      </c>
      <c r="AM33" s="7">
        <f>(AM31)+(AM32)</f>
        <v>1088.08</v>
      </c>
      <c r="AN33" s="7">
        <f t="shared" si="46"/>
        <v>36.870000000000118</v>
      </c>
      <c r="AO33" s="8">
        <f t="shared" si="47"/>
        <v>1.0338853760752886</v>
      </c>
      <c r="AP33" s="7">
        <f>(AP31)+(AP32)</f>
        <v>0</v>
      </c>
      <c r="AQ33" s="7">
        <f>(AQ31)+(AQ32)</f>
        <v>1088.08</v>
      </c>
      <c r="AR33" s="7">
        <f t="shared" si="48"/>
        <v>-1088.08</v>
      </c>
      <c r="AS33" s="8">
        <f t="shared" si="49"/>
        <v>0</v>
      </c>
      <c r="AT33" s="7">
        <f>(AT31)+(AT32)</f>
        <v>0</v>
      </c>
      <c r="AU33" s="7">
        <f>(AU31)+(AU32)</f>
        <v>1088.1199999999999</v>
      </c>
      <c r="AV33" s="7">
        <f t="shared" si="50"/>
        <v>-1088.1199999999999</v>
      </c>
      <c r="AW33" s="8">
        <f t="shared" si="51"/>
        <v>0</v>
      </c>
      <c r="AX33" s="21">
        <f t="shared" si="52"/>
        <v>10692.220000000001</v>
      </c>
      <c r="AY33" s="9">
        <f t="shared" si="53"/>
        <v>13057</v>
      </c>
      <c r="AZ33" s="9">
        <f t="shared" si="54"/>
        <v>-2364.7799999999988</v>
      </c>
      <c r="BA33" s="15">
        <f t="shared" si="55"/>
        <v>0.81888795282224103</v>
      </c>
    </row>
    <row r="34" spans="1:53" x14ac:dyDescent="0.25">
      <c r="A34" s="3" t="s">
        <v>43</v>
      </c>
      <c r="B34" s="4"/>
      <c r="C34" s="4"/>
      <c r="D34" s="5">
        <f t="shared" si="28"/>
        <v>0</v>
      </c>
      <c r="E34" s="6" t="str">
        <f t="shared" si="29"/>
        <v/>
      </c>
      <c r="F34" s="4"/>
      <c r="G34" s="4"/>
      <c r="H34" s="5">
        <f t="shared" si="30"/>
        <v>0</v>
      </c>
      <c r="I34" s="6" t="str">
        <f t="shared" si="31"/>
        <v/>
      </c>
      <c r="J34" s="4"/>
      <c r="K34" s="4"/>
      <c r="L34" s="5">
        <f t="shared" si="32"/>
        <v>0</v>
      </c>
      <c r="M34" s="6" t="str">
        <f t="shared" si="33"/>
        <v/>
      </c>
      <c r="N34" s="4"/>
      <c r="O34" s="4"/>
      <c r="P34" s="5">
        <f t="shared" si="34"/>
        <v>0</v>
      </c>
      <c r="Q34" s="6" t="str">
        <f t="shared" si="35"/>
        <v/>
      </c>
      <c r="R34" s="4"/>
      <c r="S34" s="4"/>
      <c r="T34" s="5">
        <f t="shared" si="36"/>
        <v>0</v>
      </c>
      <c r="U34" s="6" t="str">
        <f t="shared" si="37"/>
        <v/>
      </c>
      <c r="V34" s="4"/>
      <c r="W34" s="4"/>
      <c r="X34" s="5">
        <f t="shared" si="38"/>
        <v>0</v>
      </c>
      <c r="Y34" s="6" t="str">
        <f t="shared" si="39"/>
        <v/>
      </c>
      <c r="Z34" s="4"/>
      <c r="AA34" s="4"/>
      <c r="AB34" s="5">
        <f t="shared" si="40"/>
        <v>0</v>
      </c>
      <c r="AC34" s="6" t="str">
        <f t="shared" si="41"/>
        <v/>
      </c>
      <c r="AD34" s="4"/>
      <c r="AE34" s="4"/>
      <c r="AF34" s="5">
        <f t="shared" si="42"/>
        <v>0</v>
      </c>
      <c r="AG34" s="6" t="str">
        <f t="shared" si="43"/>
        <v/>
      </c>
      <c r="AH34" s="4"/>
      <c r="AI34" s="4"/>
      <c r="AJ34" s="5">
        <f t="shared" si="44"/>
        <v>0</v>
      </c>
      <c r="AK34" s="6" t="str">
        <f t="shared" si="45"/>
        <v/>
      </c>
      <c r="AL34" s="4"/>
      <c r="AM34" s="4"/>
      <c r="AN34" s="5">
        <f t="shared" si="46"/>
        <v>0</v>
      </c>
      <c r="AO34" s="6" t="str">
        <f t="shared" si="47"/>
        <v/>
      </c>
      <c r="AP34" s="4"/>
      <c r="AQ34" s="4"/>
      <c r="AR34" s="5">
        <f t="shared" si="48"/>
        <v>0</v>
      </c>
      <c r="AS34" s="6" t="str">
        <f t="shared" si="49"/>
        <v/>
      </c>
      <c r="AT34" s="4"/>
      <c r="AU34" s="4"/>
      <c r="AV34" s="5">
        <f t="shared" si="50"/>
        <v>0</v>
      </c>
      <c r="AW34" s="6" t="str">
        <f t="shared" si="51"/>
        <v/>
      </c>
      <c r="AX34" s="20">
        <f t="shared" si="52"/>
        <v>0</v>
      </c>
      <c r="AY34" s="5">
        <f t="shared" si="53"/>
        <v>0</v>
      </c>
      <c r="AZ34" s="5">
        <f t="shared" si="54"/>
        <v>0</v>
      </c>
      <c r="BA34" s="14" t="str">
        <f t="shared" si="55"/>
        <v/>
      </c>
    </row>
    <row r="35" spans="1:53" x14ac:dyDescent="0.25">
      <c r="A35" s="3" t="s">
        <v>44</v>
      </c>
      <c r="B35" s="5">
        <f>214.61</f>
        <v>214.61</v>
      </c>
      <c r="C35" s="5">
        <f>434.58</f>
        <v>434.58</v>
      </c>
      <c r="D35" s="5">
        <f t="shared" si="28"/>
        <v>-219.96999999999997</v>
      </c>
      <c r="E35" s="6">
        <f t="shared" si="29"/>
        <v>0.4938331262368264</v>
      </c>
      <c r="F35" s="4"/>
      <c r="G35" s="5">
        <f>434.58</f>
        <v>434.58</v>
      </c>
      <c r="H35" s="5">
        <f t="shared" si="30"/>
        <v>-434.58</v>
      </c>
      <c r="I35" s="6">
        <f t="shared" si="31"/>
        <v>0</v>
      </c>
      <c r="J35" s="5">
        <f>1279.4</f>
        <v>1279.4000000000001</v>
      </c>
      <c r="K35" s="5">
        <f>434.58</f>
        <v>434.58</v>
      </c>
      <c r="L35" s="5">
        <f t="shared" si="32"/>
        <v>844.82000000000016</v>
      </c>
      <c r="M35" s="6">
        <f t="shared" si="33"/>
        <v>2.9439919002255053</v>
      </c>
      <c r="N35" s="5">
        <f>245.95</f>
        <v>245.95</v>
      </c>
      <c r="O35" s="5">
        <f>434.58</f>
        <v>434.58</v>
      </c>
      <c r="P35" s="5">
        <f t="shared" si="34"/>
        <v>-188.63</v>
      </c>
      <c r="Q35" s="6">
        <f t="shared" si="35"/>
        <v>0.56594873210916286</v>
      </c>
      <c r="R35" s="4"/>
      <c r="S35" s="5">
        <f>434.58</f>
        <v>434.58</v>
      </c>
      <c r="T35" s="5">
        <f t="shared" si="36"/>
        <v>-434.58</v>
      </c>
      <c r="U35" s="6">
        <f t="shared" si="37"/>
        <v>0</v>
      </c>
      <c r="V35" s="5">
        <f>53.99</f>
        <v>53.99</v>
      </c>
      <c r="W35" s="5">
        <f>434.58</f>
        <v>434.58</v>
      </c>
      <c r="X35" s="5">
        <f t="shared" si="38"/>
        <v>-380.59</v>
      </c>
      <c r="Y35" s="6">
        <f t="shared" si="39"/>
        <v>0.12423489346035253</v>
      </c>
      <c r="Z35" s="5">
        <f>967.59</f>
        <v>967.59</v>
      </c>
      <c r="AA35" s="5">
        <f>434.58</f>
        <v>434.58</v>
      </c>
      <c r="AB35" s="5">
        <f t="shared" si="40"/>
        <v>533.01</v>
      </c>
      <c r="AC35" s="6">
        <f t="shared" si="41"/>
        <v>2.2264945464586501</v>
      </c>
      <c r="AD35" s="5">
        <f>280</f>
        <v>280</v>
      </c>
      <c r="AE35" s="5">
        <f>434.58</f>
        <v>434.58</v>
      </c>
      <c r="AF35" s="5">
        <f t="shared" si="42"/>
        <v>-154.57999999999998</v>
      </c>
      <c r="AG35" s="6">
        <f t="shared" si="43"/>
        <v>0.64430024391366381</v>
      </c>
      <c r="AH35" s="5">
        <f>794.65</f>
        <v>794.65</v>
      </c>
      <c r="AI35" s="5">
        <f>434.58</f>
        <v>434.58</v>
      </c>
      <c r="AJ35" s="5">
        <f t="shared" si="44"/>
        <v>360.07</v>
      </c>
      <c r="AK35" s="6">
        <f t="shared" si="45"/>
        <v>1.8285471029499747</v>
      </c>
      <c r="AL35" s="5">
        <f>57.24</f>
        <v>57.24</v>
      </c>
      <c r="AM35" s="5">
        <f>434.58</f>
        <v>434.58</v>
      </c>
      <c r="AN35" s="5">
        <f t="shared" si="46"/>
        <v>-377.34</v>
      </c>
      <c r="AO35" s="6">
        <f t="shared" si="47"/>
        <v>0.13171337843435041</v>
      </c>
      <c r="AP35" s="4"/>
      <c r="AQ35" s="5">
        <f>434.58</f>
        <v>434.58</v>
      </c>
      <c r="AR35" s="5">
        <f t="shared" si="48"/>
        <v>-434.58</v>
      </c>
      <c r="AS35" s="6">
        <f t="shared" si="49"/>
        <v>0</v>
      </c>
      <c r="AT35" s="4"/>
      <c r="AU35" s="5">
        <f>434.62</f>
        <v>434.62</v>
      </c>
      <c r="AV35" s="5">
        <f t="shared" si="50"/>
        <v>-434.62</v>
      </c>
      <c r="AW35" s="6">
        <f t="shared" si="51"/>
        <v>0</v>
      </c>
      <c r="AX35" s="20">
        <f t="shared" si="52"/>
        <v>3893.4300000000003</v>
      </c>
      <c r="AY35" s="5">
        <f t="shared" si="53"/>
        <v>5215</v>
      </c>
      <c r="AZ35" s="5">
        <f t="shared" si="54"/>
        <v>-1321.5699999999997</v>
      </c>
      <c r="BA35" s="14">
        <f t="shared" si="55"/>
        <v>0.74658293384467889</v>
      </c>
    </row>
    <row r="36" spans="1:53" x14ac:dyDescent="0.25">
      <c r="A36" s="3" t="s">
        <v>45</v>
      </c>
      <c r="B36" s="4"/>
      <c r="C36" s="5">
        <f>166.67</f>
        <v>166.67</v>
      </c>
      <c r="D36" s="5">
        <f t="shared" si="28"/>
        <v>-166.67</v>
      </c>
      <c r="E36" s="6">
        <f t="shared" si="29"/>
        <v>0</v>
      </c>
      <c r="F36" s="4"/>
      <c r="G36" s="5">
        <f>166.67</f>
        <v>166.67</v>
      </c>
      <c r="H36" s="5">
        <f t="shared" si="30"/>
        <v>-166.67</v>
      </c>
      <c r="I36" s="6">
        <f t="shared" si="31"/>
        <v>0</v>
      </c>
      <c r="J36" s="4"/>
      <c r="K36" s="5">
        <f>166.67</f>
        <v>166.67</v>
      </c>
      <c r="L36" s="5">
        <f t="shared" si="32"/>
        <v>-166.67</v>
      </c>
      <c r="M36" s="6">
        <f t="shared" si="33"/>
        <v>0</v>
      </c>
      <c r="N36" s="4"/>
      <c r="O36" s="5">
        <f>166.67</f>
        <v>166.67</v>
      </c>
      <c r="P36" s="5">
        <f t="shared" si="34"/>
        <v>-166.67</v>
      </c>
      <c r="Q36" s="6">
        <f t="shared" si="35"/>
        <v>0</v>
      </c>
      <c r="R36" s="4"/>
      <c r="S36" s="5">
        <f>166.67</f>
        <v>166.67</v>
      </c>
      <c r="T36" s="5">
        <f t="shared" si="36"/>
        <v>-166.67</v>
      </c>
      <c r="U36" s="6">
        <f t="shared" si="37"/>
        <v>0</v>
      </c>
      <c r="V36" s="4"/>
      <c r="W36" s="5">
        <f>166.67</f>
        <v>166.67</v>
      </c>
      <c r="X36" s="5">
        <f t="shared" si="38"/>
        <v>-166.67</v>
      </c>
      <c r="Y36" s="6">
        <f t="shared" si="39"/>
        <v>0</v>
      </c>
      <c r="Z36" s="5">
        <f>20</f>
        <v>20</v>
      </c>
      <c r="AA36" s="5">
        <f>166.67</f>
        <v>166.67</v>
      </c>
      <c r="AB36" s="5">
        <f t="shared" si="40"/>
        <v>-146.66999999999999</v>
      </c>
      <c r="AC36" s="6">
        <f t="shared" si="41"/>
        <v>0.11999760004799905</v>
      </c>
      <c r="AD36" s="4"/>
      <c r="AE36" s="5">
        <f>166.67</f>
        <v>166.67</v>
      </c>
      <c r="AF36" s="5">
        <f t="shared" si="42"/>
        <v>-166.67</v>
      </c>
      <c r="AG36" s="6">
        <f t="shared" si="43"/>
        <v>0</v>
      </c>
      <c r="AH36" s="4"/>
      <c r="AI36" s="5">
        <f>166.67</f>
        <v>166.67</v>
      </c>
      <c r="AJ36" s="5">
        <f t="shared" si="44"/>
        <v>-166.67</v>
      </c>
      <c r="AK36" s="6">
        <f t="shared" si="45"/>
        <v>0</v>
      </c>
      <c r="AL36" s="5">
        <f>176</f>
        <v>176</v>
      </c>
      <c r="AM36" s="5">
        <f>166.67</f>
        <v>166.67</v>
      </c>
      <c r="AN36" s="5">
        <f t="shared" si="46"/>
        <v>9.3300000000000125</v>
      </c>
      <c r="AO36" s="6">
        <f t="shared" si="47"/>
        <v>1.0559788804223917</v>
      </c>
      <c r="AP36" s="4"/>
      <c r="AQ36" s="5">
        <f>166.67</f>
        <v>166.67</v>
      </c>
      <c r="AR36" s="5">
        <f t="shared" si="48"/>
        <v>-166.67</v>
      </c>
      <c r="AS36" s="6">
        <f t="shared" si="49"/>
        <v>0</v>
      </c>
      <c r="AT36" s="4"/>
      <c r="AU36" s="5">
        <f>166.63</f>
        <v>166.63</v>
      </c>
      <c r="AV36" s="5">
        <f t="shared" si="50"/>
        <v>-166.63</v>
      </c>
      <c r="AW36" s="6">
        <f t="shared" si="51"/>
        <v>0</v>
      </c>
      <c r="AX36" s="20">
        <f t="shared" si="52"/>
        <v>196</v>
      </c>
      <c r="AY36" s="5">
        <f t="shared" si="53"/>
        <v>2000</v>
      </c>
      <c r="AZ36" s="5">
        <f t="shared" si="54"/>
        <v>-1804</v>
      </c>
      <c r="BA36" s="14">
        <f t="shared" si="55"/>
        <v>9.8000000000000004E-2</v>
      </c>
    </row>
    <row r="37" spans="1:53" x14ac:dyDescent="0.25">
      <c r="A37" s="3" t="s">
        <v>46</v>
      </c>
      <c r="B37" s="4"/>
      <c r="C37" s="5">
        <f>83.33</f>
        <v>83.33</v>
      </c>
      <c r="D37" s="5">
        <f t="shared" si="28"/>
        <v>-83.33</v>
      </c>
      <c r="E37" s="6">
        <f t="shared" si="29"/>
        <v>0</v>
      </c>
      <c r="F37" s="4"/>
      <c r="G37" s="5">
        <f>83.33</f>
        <v>83.33</v>
      </c>
      <c r="H37" s="5">
        <f t="shared" si="30"/>
        <v>-83.33</v>
      </c>
      <c r="I37" s="6">
        <f t="shared" si="31"/>
        <v>0</v>
      </c>
      <c r="J37" s="4"/>
      <c r="K37" s="5">
        <f>83.33</f>
        <v>83.33</v>
      </c>
      <c r="L37" s="5">
        <f t="shared" si="32"/>
        <v>-83.33</v>
      </c>
      <c r="M37" s="6">
        <f t="shared" si="33"/>
        <v>0</v>
      </c>
      <c r="N37" s="4"/>
      <c r="O37" s="5">
        <f>83.33</f>
        <v>83.33</v>
      </c>
      <c r="P37" s="5">
        <f t="shared" si="34"/>
        <v>-83.33</v>
      </c>
      <c r="Q37" s="6">
        <f t="shared" si="35"/>
        <v>0</v>
      </c>
      <c r="R37" s="4"/>
      <c r="S37" s="5">
        <f>83.33</f>
        <v>83.33</v>
      </c>
      <c r="T37" s="5">
        <f t="shared" si="36"/>
        <v>-83.33</v>
      </c>
      <c r="U37" s="6">
        <f t="shared" si="37"/>
        <v>0</v>
      </c>
      <c r="V37" s="4"/>
      <c r="W37" s="5">
        <f>83.33</f>
        <v>83.33</v>
      </c>
      <c r="X37" s="5">
        <f t="shared" si="38"/>
        <v>-83.33</v>
      </c>
      <c r="Y37" s="6">
        <f t="shared" si="39"/>
        <v>0</v>
      </c>
      <c r="Z37" s="4"/>
      <c r="AA37" s="5">
        <f>83.33</f>
        <v>83.33</v>
      </c>
      <c r="AB37" s="5">
        <f t="shared" si="40"/>
        <v>-83.33</v>
      </c>
      <c r="AC37" s="6">
        <f t="shared" si="41"/>
        <v>0</v>
      </c>
      <c r="AD37" s="4"/>
      <c r="AE37" s="5">
        <f>83.33</f>
        <v>83.33</v>
      </c>
      <c r="AF37" s="5">
        <f t="shared" si="42"/>
        <v>-83.33</v>
      </c>
      <c r="AG37" s="6">
        <f t="shared" si="43"/>
        <v>0</v>
      </c>
      <c r="AH37" s="4"/>
      <c r="AI37" s="5">
        <f>83.33</f>
        <v>83.33</v>
      </c>
      <c r="AJ37" s="5">
        <f t="shared" si="44"/>
        <v>-83.33</v>
      </c>
      <c r="AK37" s="6">
        <f t="shared" si="45"/>
        <v>0</v>
      </c>
      <c r="AL37" s="5">
        <f>90</f>
        <v>90</v>
      </c>
      <c r="AM37" s="5">
        <f>83.33</f>
        <v>83.33</v>
      </c>
      <c r="AN37" s="5">
        <f t="shared" si="46"/>
        <v>6.6700000000000017</v>
      </c>
      <c r="AO37" s="6">
        <f t="shared" si="47"/>
        <v>1.0800432017280692</v>
      </c>
      <c r="AP37" s="5"/>
      <c r="AQ37" s="5">
        <f>83.33</f>
        <v>83.33</v>
      </c>
      <c r="AR37" s="5">
        <f t="shared" si="48"/>
        <v>-83.33</v>
      </c>
      <c r="AS37" s="6">
        <f t="shared" si="49"/>
        <v>0</v>
      </c>
      <c r="AT37" s="4"/>
      <c r="AU37" s="5">
        <f>83.37</f>
        <v>83.37</v>
      </c>
      <c r="AV37" s="5">
        <f t="shared" si="50"/>
        <v>-83.37</v>
      </c>
      <c r="AW37" s="6">
        <f t="shared" si="51"/>
        <v>0</v>
      </c>
      <c r="AX37" s="20">
        <f t="shared" si="52"/>
        <v>90</v>
      </c>
      <c r="AY37" s="5">
        <f t="shared" si="53"/>
        <v>1000.0000000000001</v>
      </c>
      <c r="AZ37" s="5">
        <f t="shared" si="54"/>
        <v>-910.00000000000011</v>
      </c>
      <c r="BA37" s="14">
        <f t="shared" si="55"/>
        <v>0.09</v>
      </c>
    </row>
    <row r="38" spans="1:53" x14ac:dyDescent="0.25">
      <c r="A38" s="3" t="s">
        <v>47</v>
      </c>
      <c r="B38" s="4"/>
      <c r="C38" s="5">
        <f>5</f>
        <v>5</v>
      </c>
      <c r="D38" s="5">
        <f t="shared" si="28"/>
        <v>-5</v>
      </c>
      <c r="E38" s="6">
        <f t="shared" si="29"/>
        <v>0</v>
      </c>
      <c r="F38" s="4"/>
      <c r="G38" s="5">
        <f>5</f>
        <v>5</v>
      </c>
      <c r="H38" s="5">
        <f t="shared" si="30"/>
        <v>-5</v>
      </c>
      <c r="I38" s="6">
        <f t="shared" si="31"/>
        <v>0</v>
      </c>
      <c r="J38" s="4"/>
      <c r="K38" s="5">
        <f>5</f>
        <v>5</v>
      </c>
      <c r="L38" s="5">
        <f t="shared" si="32"/>
        <v>-5</v>
      </c>
      <c r="M38" s="6">
        <f t="shared" si="33"/>
        <v>0</v>
      </c>
      <c r="N38" s="4"/>
      <c r="O38" s="5">
        <f>5</f>
        <v>5</v>
      </c>
      <c r="P38" s="5">
        <f t="shared" si="34"/>
        <v>-5</v>
      </c>
      <c r="Q38" s="6">
        <f t="shared" si="35"/>
        <v>0</v>
      </c>
      <c r="R38" s="4"/>
      <c r="S38" s="5">
        <f>5</f>
        <v>5</v>
      </c>
      <c r="T38" s="5">
        <f t="shared" si="36"/>
        <v>-5</v>
      </c>
      <c r="U38" s="6">
        <f t="shared" si="37"/>
        <v>0</v>
      </c>
      <c r="V38" s="4"/>
      <c r="W38" s="5">
        <f>5</f>
        <v>5</v>
      </c>
      <c r="X38" s="5">
        <f t="shared" si="38"/>
        <v>-5</v>
      </c>
      <c r="Y38" s="6">
        <f t="shared" si="39"/>
        <v>0</v>
      </c>
      <c r="Z38" s="4"/>
      <c r="AA38" s="5">
        <f>5</f>
        <v>5</v>
      </c>
      <c r="AB38" s="5">
        <f t="shared" si="40"/>
        <v>-5</v>
      </c>
      <c r="AC38" s="6">
        <f t="shared" si="41"/>
        <v>0</v>
      </c>
      <c r="AD38" s="4"/>
      <c r="AE38" s="5">
        <f>5</f>
        <v>5</v>
      </c>
      <c r="AF38" s="5">
        <f t="shared" si="42"/>
        <v>-5</v>
      </c>
      <c r="AG38" s="6">
        <f t="shared" si="43"/>
        <v>0</v>
      </c>
      <c r="AH38" s="4"/>
      <c r="AI38" s="5">
        <f>5</f>
        <v>5</v>
      </c>
      <c r="AJ38" s="5">
        <f t="shared" si="44"/>
        <v>-5</v>
      </c>
      <c r="AK38" s="6">
        <f t="shared" si="45"/>
        <v>0</v>
      </c>
      <c r="AL38" s="4"/>
      <c r="AM38" s="5">
        <f>5</f>
        <v>5</v>
      </c>
      <c r="AN38" s="5">
        <f t="shared" si="46"/>
        <v>-5</v>
      </c>
      <c r="AO38" s="6">
        <f t="shared" si="47"/>
        <v>0</v>
      </c>
      <c r="AP38" s="4"/>
      <c r="AQ38" s="5">
        <f>5</f>
        <v>5</v>
      </c>
      <c r="AR38" s="5">
        <f t="shared" si="48"/>
        <v>-5</v>
      </c>
      <c r="AS38" s="6">
        <f t="shared" si="49"/>
        <v>0</v>
      </c>
      <c r="AT38" s="4"/>
      <c r="AU38" s="5">
        <f>5</f>
        <v>5</v>
      </c>
      <c r="AV38" s="5">
        <f t="shared" si="50"/>
        <v>-5</v>
      </c>
      <c r="AW38" s="6">
        <f t="shared" si="51"/>
        <v>0</v>
      </c>
      <c r="AX38" s="20">
        <f t="shared" si="52"/>
        <v>0</v>
      </c>
      <c r="AY38" s="5">
        <f t="shared" si="53"/>
        <v>60</v>
      </c>
      <c r="AZ38" s="5">
        <f t="shared" si="54"/>
        <v>-60</v>
      </c>
      <c r="BA38" s="14">
        <f t="shared" si="55"/>
        <v>0</v>
      </c>
    </row>
    <row r="39" spans="1:53" x14ac:dyDescent="0.25">
      <c r="A39" s="3" t="s">
        <v>48</v>
      </c>
      <c r="B39" s="4"/>
      <c r="C39" s="5">
        <f>20.83</f>
        <v>20.83</v>
      </c>
      <c r="D39" s="5">
        <f t="shared" si="28"/>
        <v>-20.83</v>
      </c>
      <c r="E39" s="6">
        <f t="shared" si="29"/>
        <v>0</v>
      </c>
      <c r="F39" s="4"/>
      <c r="G39" s="5">
        <f>20.83</f>
        <v>20.83</v>
      </c>
      <c r="H39" s="5">
        <f t="shared" si="30"/>
        <v>-20.83</v>
      </c>
      <c r="I39" s="6">
        <f t="shared" si="31"/>
        <v>0</v>
      </c>
      <c r="J39" s="4"/>
      <c r="K39" s="5">
        <f>20.83</f>
        <v>20.83</v>
      </c>
      <c r="L39" s="5">
        <f t="shared" si="32"/>
        <v>-20.83</v>
      </c>
      <c r="M39" s="6">
        <f t="shared" si="33"/>
        <v>0</v>
      </c>
      <c r="N39" s="4"/>
      <c r="O39" s="5">
        <f>20.83</f>
        <v>20.83</v>
      </c>
      <c r="P39" s="5">
        <f t="shared" si="34"/>
        <v>-20.83</v>
      </c>
      <c r="Q39" s="6">
        <f t="shared" si="35"/>
        <v>0</v>
      </c>
      <c r="R39" s="4"/>
      <c r="S39" s="5">
        <f>20.83</f>
        <v>20.83</v>
      </c>
      <c r="T39" s="5">
        <f t="shared" si="36"/>
        <v>-20.83</v>
      </c>
      <c r="U39" s="6">
        <f t="shared" si="37"/>
        <v>0</v>
      </c>
      <c r="V39" s="4"/>
      <c r="W39" s="5">
        <f>20.83</f>
        <v>20.83</v>
      </c>
      <c r="X39" s="5">
        <f t="shared" si="38"/>
        <v>-20.83</v>
      </c>
      <c r="Y39" s="6">
        <f t="shared" si="39"/>
        <v>0</v>
      </c>
      <c r="Z39" s="4"/>
      <c r="AA39" s="5">
        <f>20.83</f>
        <v>20.83</v>
      </c>
      <c r="AB39" s="5">
        <f t="shared" si="40"/>
        <v>-20.83</v>
      </c>
      <c r="AC39" s="6">
        <f t="shared" si="41"/>
        <v>0</v>
      </c>
      <c r="AD39" s="5">
        <f>250</f>
        <v>250</v>
      </c>
      <c r="AE39" s="5">
        <f>20.83</f>
        <v>20.83</v>
      </c>
      <c r="AF39" s="5">
        <f t="shared" si="42"/>
        <v>229.17000000000002</v>
      </c>
      <c r="AG39" s="6">
        <f t="shared" si="43"/>
        <v>12.001920307249161</v>
      </c>
      <c r="AH39" s="4"/>
      <c r="AI39" s="5">
        <f>20.83</f>
        <v>20.83</v>
      </c>
      <c r="AJ39" s="5">
        <f t="shared" si="44"/>
        <v>-20.83</v>
      </c>
      <c r="AK39" s="6">
        <f t="shared" si="45"/>
        <v>0</v>
      </c>
      <c r="AL39" s="4"/>
      <c r="AM39" s="5">
        <f>20.83</f>
        <v>20.83</v>
      </c>
      <c r="AN39" s="5">
        <f t="shared" si="46"/>
        <v>-20.83</v>
      </c>
      <c r="AO39" s="6">
        <f t="shared" si="47"/>
        <v>0</v>
      </c>
      <c r="AP39" s="4"/>
      <c r="AQ39" s="5">
        <f>20.83</f>
        <v>20.83</v>
      </c>
      <c r="AR39" s="5">
        <f t="shared" si="48"/>
        <v>-20.83</v>
      </c>
      <c r="AS39" s="6">
        <f t="shared" si="49"/>
        <v>0</v>
      </c>
      <c r="AT39" s="4"/>
      <c r="AU39" s="5">
        <f>20.87</f>
        <v>20.87</v>
      </c>
      <c r="AV39" s="5">
        <f t="shared" si="50"/>
        <v>-20.87</v>
      </c>
      <c r="AW39" s="6">
        <f t="shared" si="51"/>
        <v>0</v>
      </c>
      <c r="AX39" s="20">
        <f t="shared" si="52"/>
        <v>250</v>
      </c>
      <c r="AY39" s="5">
        <f t="shared" si="53"/>
        <v>249.99999999999994</v>
      </c>
      <c r="AZ39" s="5">
        <f t="shared" si="54"/>
        <v>0</v>
      </c>
      <c r="BA39" s="14">
        <f t="shared" si="55"/>
        <v>1.0000000000000002</v>
      </c>
    </row>
    <row r="40" spans="1:53" x14ac:dyDescent="0.25">
      <c r="A40" s="3" t="s">
        <v>49</v>
      </c>
      <c r="B40" s="7">
        <f>(((((B34)+(B35))+(B36))+(B37))+(B38))+(B39)</f>
        <v>214.61</v>
      </c>
      <c r="C40" s="7">
        <f>(((((C34)+(C35))+(C36))+(C37))+(C38))+(C39)</f>
        <v>710.41000000000008</v>
      </c>
      <c r="D40" s="7">
        <f t="shared" si="28"/>
        <v>-495.80000000000007</v>
      </c>
      <c r="E40" s="8">
        <f t="shared" si="29"/>
        <v>0.30209315747244547</v>
      </c>
      <c r="F40" s="7">
        <f>(((((F34)+(F35))+(F36))+(F37))+(F38))+(F39)</f>
        <v>0</v>
      </c>
      <c r="G40" s="7">
        <f>(((((G34)+(G35))+(G36))+(G37))+(G38))+(G39)</f>
        <v>710.41000000000008</v>
      </c>
      <c r="H40" s="7">
        <f t="shared" si="30"/>
        <v>-710.41000000000008</v>
      </c>
      <c r="I40" s="8">
        <f t="shared" si="31"/>
        <v>0</v>
      </c>
      <c r="J40" s="7">
        <f>(((((J34)+(J35))+(J36))+(J37))+(J38))+(J39)</f>
        <v>1279.4000000000001</v>
      </c>
      <c r="K40" s="7">
        <f>(((((K34)+(K35))+(K36))+(K37))+(K38))+(K39)</f>
        <v>710.41000000000008</v>
      </c>
      <c r="L40" s="7">
        <f t="shared" si="32"/>
        <v>568.99</v>
      </c>
      <c r="M40" s="8">
        <f t="shared" si="33"/>
        <v>1.8009318562520233</v>
      </c>
      <c r="N40" s="7">
        <f>(((((N34)+(N35))+(N36))+(N37))+(N38))+(N39)</f>
        <v>245.95</v>
      </c>
      <c r="O40" s="7">
        <f>(((((O34)+(O35))+(O36))+(O37))+(O38))+(O39)</f>
        <v>710.41000000000008</v>
      </c>
      <c r="P40" s="7">
        <f t="shared" si="34"/>
        <v>-464.46000000000009</v>
      </c>
      <c r="Q40" s="8">
        <f t="shared" si="35"/>
        <v>0.34620852747005243</v>
      </c>
      <c r="R40" s="7">
        <f>(((((R34)+(R35))+(R36))+(R37))+(R38))+(R39)</f>
        <v>0</v>
      </c>
      <c r="S40" s="7">
        <f>(((((S34)+(S35))+(S36))+(S37))+(S38))+(S39)</f>
        <v>710.41000000000008</v>
      </c>
      <c r="T40" s="7">
        <f t="shared" si="36"/>
        <v>-710.41000000000008</v>
      </c>
      <c r="U40" s="8">
        <f t="shared" si="37"/>
        <v>0</v>
      </c>
      <c r="V40" s="7">
        <f>(((((V34)+(V35))+(V36))+(V37))+(V38))+(V39)</f>
        <v>53.99</v>
      </c>
      <c r="W40" s="7">
        <f>(((((W34)+(W35))+(W36))+(W37))+(W38))+(W39)</f>
        <v>710.41000000000008</v>
      </c>
      <c r="X40" s="7">
        <f t="shared" si="38"/>
        <v>-656.42000000000007</v>
      </c>
      <c r="Y40" s="8">
        <f t="shared" si="39"/>
        <v>7.5998367140102191E-2</v>
      </c>
      <c r="Z40" s="7">
        <f>(((((Z34)+(Z35))+(Z36))+(Z37))+(Z38))+(Z39)</f>
        <v>987.59</v>
      </c>
      <c r="AA40" s="7">
        <f>(((((AA34)+(AA35))+(AA36))+(AA37))+(AA38))+(AA39)</f>
        <v>710.41000000000008</v>
      </c>
      <c r="AB40" s="7">
        <f t="shared" si="40"/>
        <v>277.17999999999995</v>
      </c>
      <c r="AC40" s="8">
        <f t="shared" si="41"/>
        <v>1.3901690573049366</v>
      </c>
      <c r="AD40" s="7">
        <f>(((((AD34)+(AD35))+(AD36))+(AD37))+(AD38))+(AD39)</f>
        <v>530</v>
      </c>
      <c r="AE40" s="7">
        <f>(((((AE34)+(AE35))+(AE36))+(AE37))+(AE38))+(AE39)</f>
        <v>710.41000000000008</v>
      </c>
      <c r="AF40" s="7">
        <f t="shared" si="42"/>
        <v>-180.41000000000008</v>
      </c>
      <c r="AG40" s="8">
        <f t="shared" si="43"/>
        <v>0.74604805675595776</v>
      </c>
      <c r="AH40" s="7">
        <f>(((((AH34)+(AH35))+(AH36))+(AH37))+(AH38))+(AH39)</f>
        <v>794.65</v>
      </c>
      <c r="AI40" s="7">
        <f>(((((AI34)+(AI35))+(AI36))+(AI37))+(AI38))+(AI39)</f>
        <v>710.41000000000008</v>
      </c>
      <c r="AJ40" s="7">
        <f t="shared" si="44"/>
        <v>84.239999999999895</v>
      </c>
      <c r="AK40" s="8">
        <f t="shared" si="45"/>
        <v>1.118579411888909</v>
      </c>
      <c r="AL40" s="7">
        <f>(((((AL34)+(AL35))+(AL36))+(AL37))+(AL38))+(AL39)</f>
        <v>323.24</v>
      </c>
      <c r="AM40" s="7">
        <f>(((((AM34)+(AM35))+(AM36))+(AM37))+(AM38))+(AM39)</f>
        <v>710.41000000000008</v>
      </c>
      <c r="AN40" s="7">
        <f t="shared" si="46"/>
        <v>-387.17000000000007</v>
      </c>
      <c r="AO40" s="8">
        <f t="shared" si="47"/>
        <v>0.4550048563505581</v>
      </c>
      <c r="AP40" s="7">
        <f>(((((AP34)+(AP35))+(AP36))+(AP37))+(AP38))+(AP39)</f>
        <v>0</v>
      </c>
      <c r="AQ40" s="7">
        <f>(((((AQ34)+(AQ35))+(AQ36))+(AQ37))+(AQ38))+(AQ39)</f>
        <v>710.41000000000008</v>
      </c>
      <c r="AR40" s="7">
        <f t="shared" si="48"/>
        <v>-710.41000000000008</v>
      </c>
      <c r="AS40" s="8">
        <f t="shared" si="49"/>
        <v>0</v>
      </c>
      <c r="AT40" s="7">
        <f>(((((AT34)+(AT35))+(AT36))+(AT37))+(AT38))+(AT39)</f>
        <v>0</v>
      </c>
      <c r="AU40" s="7">
        <f>(((((AU34)+(AU35))+(AU36))+(AU37))+(AU38))+(AU39)</f>
        <v>710.49</v>
      </c>
      <c r="AV40" s="7">
        <f t="shared" si="50"/>
        <v>-710.49</v>
      </c>
      <c r="AW40" s="8">
        <f t="shared" si="51"/>
        <v>0</v>
      </c>
      <c r="AX40" s="21">
        <f t="shared" si="52"/>
        <v>4429.43</v>
      </c>
      <c r="AY40" s="9">
        <f t="shared" si="53"/>
        <v>8525</v>
      </c>
      <c r="AZ40" s="9">
        <f t="shared" si="54"/>
        <v>-4095.5699999999997</v>
      </c>
      <c r="BA40" s="15">
        <f t="shared" si="55"/>
        <v>0.51958123167155423</v>
      </c>
    </row>
    <row r="41" spans="1:53" x14ac:dyDescent="0.25">
      <c r="A41" s="3" t="s">
        <v>50</v>
      </c>
      <c r="B41" s="4"/>
      <c r="C41" s="4"/>
      <c r="D41" s="5">
        <f t="shared" si="28"/>
        <v>0</v>
      </c>
      <c r="E41" s="6" t="str">
        <f t="shared" si="29"/>
        <v/>
      </c>
      <c r="F41" s="4"/>
      <c r="G41" s="4"/>
      <c r="H41" s="5">
        <f t="shared" si="30"/>
        <v>0</v>
      </c>
      <c r="I41" s="6" t="str">
        <f t="shared" si="31"/>
        <v/>
      </c>
      <c r="J41" s="4"/>
      <c r="K41" s="4"/>
      <c r="L41" s="5">
        <f t="shared" si="32"/>
        <v>0</v>
      </c>
      <c r="M41" s="6" t="str">
        <f t="shared" si="33"/>
        <v/>
      </c>
      <c r="N41" s="4"/>
      <c r="O41" s="4"/>
      <c r="P41" s="5">
        <f t="shared" si="34"/>
        <v>0</v>
      </c>
      <c r="Q41" s="6" t="str">
        <f t="shared" si="35"/>
        <v/>
      </c>
      <c r="R41" s="4"/>
      <c r="S41" s="4"/>
      <c r="T41" s="5">
        <f t="shared" si="36"/>
        <v>0</v>
      </c>
      <c r="U41" s="6" t="str">
        <f t="shared" si="37"/>
        <v/>
      </c>
      <c r="V41" s="4"/>
      <c r="W41" s="4"/>
      <c r="X41" s="5">
        <f t="shared" si="38"/>
        <v>0</v>
      </c>
      <c r="Y41" s="6" t="str">
        <f t="shared" si="39"/>
        <v/>
      </c>
      <c r="Z41" s="4"/>
      <c r="AA41" s="4"/>
      <c r="AB41" s="5">
        <f t="shared" si="40"/>
        <v>0</v>
      </c>
      <c r="AC41" s="6" t="str">
        <f t="shared" si="41"/>
        <v/>
      </c>
      <c r="AD41" s="4"/>
      <c r="AE41" s="4"/>
      <c r="AF41" s="5">
        <f t="shared" si="42"/>
        <v>0</v>
      </c>
      <c r="AG41" s="6" t="str">
        <f t="shared" si="43"/>
        <v/>
      </c>
      <c r="AH41" s="4"/>
      <c r="AI41" s="4"/>
      <c r="AJ41" s="5">
        <f t="shared" si="44"/>
        <v>0</v>
      </c>
      <c r="AK41" s="6" t="str">
        <f t="shared" si="45"/>
        <v/>
      </c>
      <c r="AL41" s="4"/>
      <c r="AM41" s="4"/>
      <c r="AN41" s="5">
        <f t="shared" si="46"/>
        <v>0</v>
      </c>
      <c r="AO41" s="6" t="str">
        <f t="shared" si="47"/>
        <v/>
      </c>
      <c r="AP41" s="4"/>
      <c r="AQ41" s="4"/>
      <c r="AR41" s="5">
        <f t="shared" si="48"/>
        <v>0</v>
      </c>
      <c r="AS41" s="6" t="str">
        <f t="shared" si="49"/>
        <v/>
      </c>
      <c r="AT41" s="4"/>
      <c r="AU41" s="4"/>
      <c r="AV41" s="5">
        <f t="shared" si="50"/>
        <v>0</v>
      </c>
      <c r="AW41" s="6" t="str">
        <f t="shared" si="51"/>
        <v/>
      </c>
      <c r="AX41" s="20">
        <f t="shared" si="52"/>
        <v>0</v>
      </c>
      <c r="AY41" s="5">
        <f t="shared" si="53"/>
        <v>0</v>
      </c>
      <c r="AZ41" s="5">
        <f t="shared" si="54"/>
        <v>0</v>
      </c>
      <c r="BA41" s="14" t="str">
        <f t="shared" si="55"/>
        <v/>
      </c>
    </row>
    <row r="42" spans="1:53" x14ac:dyDescent="0.25">
      <c r="A42" s="3" t="s">
        <v>51</v>
      </c>
      <c r="B42" s="4"/>
      <c r="C42" s="5">
        <f>83.33</f>
        <v>83.33</v>
      </c>
      <c r="D42" s="5">
        <f t="shared" si="28"/>
        <v>-83.33</v>
      </c>
      <c r="E42" s="6">
        <f t="shared" si="29"/>
        <v>0</v>
      </c>
      <c r="F42" s="4"/>
      <c r="G42" s="5">
        <f>83.33</f>
        <v>83.33</v>
      </c>
      <c r="H42" s="5">
        <f t="shared" si="30"/>
        <v>-83.33</v>
      </c>
      <c r="I42" s="6">
        <f t="shared" si="31"/>
        <v>0</v>
      </c>
      <c r="J42" s="5">
        <f>1.06</f>
        <v>1.06</v>
      </c>
      <c r="K42" s="5">
        <f>83.33</f>
        <v>83.33</v>
      </c>
      <c r="L42" s="5">
        <f t="shared" si="32"/>
        <v>-82.27</v>
      </c>
      <c r="M42" s="6">
        <f t="shared" si="33"/>
        <v>1.2720508820352815E-2</v>
      </c>
      <c r="N42" s="5">
        <f>18.87</f>
        <v>18.87</v>
      </c>
      <c r="O42" s="5">
        <f>83.33</f>
        <v>83.33</v>
      </c>
      <c r="P42" s="5">
        <f t="shared" si="34"/>
        <v>-64.459999999999994</v>
      </c>
      <c r="Q42" s="6">
        <f t="shared" si="35"/>
        <v>0.22644905796231851</v>
      </c>
      <c r="R42" s="5">
        <f>19.27</f>
        <v>19.27</v>
      </c>
      <c r="S42" s="5">
        <f>83.33</f>
        <v>83.33</v>
      </c>
      <c r="T42" s="5">
        <f t="shared" si="36"/>
        <v>-64.06</v>
      </c>
      <c r="U42" s="6">
        <f t="shared" si="37"/>
        <v>0.23124924996999879</v>
      </c>
      <c r="V42" s="5">
        <f>52.81</f>
        <v>52.81</v>
      </c>
      <c r="W42" s="5">
        <f>83.33</f>
        <v>83.33</v>
      </c>
      <c r="X42" s="5">
        <f t="shared" si="38"/>
        <v>-30.519999999999996</v>
      </c>
      <c r="Y42" s="6">
        <f t="shared" si="39"/>
        <v>0.63374534981399255</v>
      </c>
      <c r="Z42" s="5">
        <f>77.09</f>
        <v>77.09</v>
      </c>
      <c r="AA42" s="5">
        <f>83.33</f>
        <v>83.33</v>
      </c>
      <c r="AB42" s="5">
        <f t="shared" si="40"/>
        <v>-6.2399999999999949</v>
      </c>
      <c r="AC42" s="6">
        <f t="shared" si="41"/>
        <v>0.92511700468018732</v>
      </c>
      <c r="AD42" s="5">
        <f>77.06</f>
        <v>77.06</v>
      </c>
      <c r="AE42" s="5">
        <f>83.33</f>
        <v>83.33</v>
      </c>
      <c r="AF42" s="5">
        <f t="shared" si="42"/>
        <v>-6.269999999999996</v>
      </c>
      <c r="AG42" s="6">
        <f t="shared" si="43"/>
        <v>0.92475699027961122</v>
      </c>
      <c r="AH42" s="5">
        <f>82.12</f>
        <v>82.12</v>
      </c>
      <c r="AI42" s="5">
        <f>83.33</f>
        <v>83.33</v>
      </c>
      <c r="AJ42" s="5">
        <f t="shared" si="44"/>
        <v>-1.2099999999999937</v>
      </c>
      <c r="AK42" s="6">
        <f t="shared" si="45"/>
        <v>0.98547941917676718</v>
      </c>
      <c r="AL42" s="5">
        <f>241.18</f>
        <v>241.18</v>
      </c>
      <c r="AM42" s="5">
        <f>83.33</f>
        <v>83.33</v>
      </c>
      <c r="AN42" s="5">
        <f t="shared" si="46"/>
        <v>157.85000000000002</v>
      </c>
      <c r="AO42" s="6">
        <f t="shared" si="47"/>
        <v>2.8942757710308413</v>
      </c>
      <c r="AP42" s="4"/>
      <c r="AQ42" s="5">
        <f>83.33</f>
        <v>83.33</v>
      </c>
      <c r="AR42" s="5">
        <f t="shared" si="48"/>
        <v>-83.33</v>
      </c>
      <c r="AS42" s="6">
        <f t="shared" si="49"/>
        <v>0</v>
      </c>
      <c r="AT42" s="4"/>
      <c r="AU42" s="5">
        <f>83.37</f>
        <v>83.37</v>
      </c>
      <c r="AV42" s="5">
        <f t="shared" si="50"/>
        <v>-83.37</v>
      </c>
      <c r="AW42" s="6">
        <f t="shared" si="51"/>
        <v>0</v>
      </c>
      <c r="AX42" s="20">
        <f t="shared" si="52"/>
        <v>569.46</v>
      </c>
      <c r="AY42" s="5">
        <f t="shared" si="53"/>
        <v>1000.0000000000001</v>
      </c>
      <c r="AZ42" s="5">
        <f t="shared" si="54"/>
        <v>-430.54000000000008</v>
      </c>
      <c r="BA42" s="14">
        <f t="shared" si="55"/>
        <v>0.56945999999999997</v>
      </c>
    </row>
    <row r="43" spans="1:53" x14ac:dyDescent="0.25">
      <c r="A43" s="3" t="s">
        <v>52</v>
      </c>
      <c r="B43" s="4"/>
      <c r="C43" s="5">
        <f>513.33</f>
        <v>513.33000000000004</v>
      </c>
      <c r="D43" s="5">
        <f t="shared" si="28"/>
        <v>-513.33000000000004</v>
      </c>
      <c r="E43" s="6">
        <f t="shared" si="29"/>
        <v>0</v>
      </c>
      <c r="F43" s="5">
        <f>135.81</f>
        <v>135.81</v>
      </c>
      <c r="G43" s="5">
        <f>513.33</f>
        <v>513.33000000000004</v>
      </c>
      <c r="H43" s="5">
        <f t="shared" si="30"/>
        <v>-377.52000000000004</v>
      </c>
      <c r="I43" s="6">
        <f t="shared" si="31"/>
        <v>0.26456665303021448</v>
      </c>
      <c r="J43" s="5">
        <f>389.18</f>
        <v>389.18</v>
      </c>
      <c r="K43" s="5">
        <f>513.33</f>
        <v>513.33000000000004</v>
      </c>
      <c r="L43" s="5">
        <f t="shared" si="32"/>
        <v>-124.15000000000003</v>
      </c>
      <c r="M43" s="6">
        <f t="shared" si="33"/>
        <v>0.75814778018039075</v>
      </c>
      <c r="N43" s="5">
        <f>270.56</f>
        <v>270.56</v>
      </c>
      <c r="O43" s="5">
        <f>513.33</f>
        <v>513.33000000000004</v>
      </c>
      <c r="P43" s="5">
        <f t="shared" si="34"/>
        <v>-242.77000000000004</v>
      </c>
      <c r="Q43" s="6">
        <f t="shared" si="35"/>
        <v>0.52706835758673753</v>
      </c>
      <c r="R43" s="5">
        <f>677.68</f>
        <v>677.68</v>
      </c>
      <c r="S43" s="5">
        <f>513.33</f>
        <v>513.33000000000004</v>
      </c>
      <c r="T43" s="5">
        <f t="shared" si="36"/>
        <v>164.34999999999991</v>
      </c>
      <c r="U43" s="6">
        <f t="shared" si="37"/>
        <v>1.3201644166520561</v>
      </c>
      <c r="V43" s="5">
        <f>1106.67</f>
        <v>1106.67</v>
      </c>
      <c r="W43" s="5">
        <f>513.33</f>
        <v>513.33000000000004</v>
      </c>
      <c r="X43" s="5">
        <f t="shared" si="38"/>
        <v>593.34</v>
      </c>
      <c r="Y43" s="6">
        <f t="shared" si="39"/>
        <v>2.1558646484717432</v>
      </c>
      <c r="Z43" s="5">
        <f>1418.84</f>
        <v>1418.84</v>
      </c>
      <c r="AA43" s="5">
        <f>513.33</f>
        <v>513.33000000000004</v>
      </c>
      <c r="AB43" s="5">
        <f t="shared" si="40"/>
        <v>905.50999999999988</v>
      </c>
      <c r="AC43" s="6">
        <f t="shared" si="41"/>
        <v>2.7639919739738565</v>
      </c>
      <c r="AD43" s="5">
        <f>1803.72</f>
        <v>1803.72</v>
      </c>
      <c r="AE43" s="5">
        <f>513.33</f>
        <v>513.33000000000004</v>
      </c>
      <c r="AF43" s="5">
        <f t="shared" si="42"/>
        <v>1290.3899999999999</v>
      </c>
      <c r="AG43" s="6">
        <f t="shared" si="43"/>
        <v>3.5137630763836127</v>
      </c>
      <c r="AH43" s="5">
        <f>1188.04</f>
        <v>1188.04</v>
      </c>
      <c r="AI43" s="5">
        <f>513.33</f>
        <v>513.33000000000004</v>
      </c>
      <c r="AJ43" s="5">
        <f t="shared" si="44"/>
        <v>674.70999999999992</v>
      </c>
      <c r="AK43" s="6">
        <f t="shared" si="45"/>
        <v>2.3143786647965245</v>
      </c>
      <c r="AL43" s="5">
        <f>694.96</f>
        <v>694.96</v>
      </c>
      <c r="AM43" s="5">
        <f>513.33</f>
        <v>513.33000000000004</v>
      </c>
      <c r="AN43" s="5">
        <f t="shared" si="46"/>
        <v>181.63</v>
      </c>
      <c r="AO43" s="6">
        <f t="shared" si="47"/>
        <v>1.3538269729024215</v>
      </c>
      <c r="AP43" s="4"/>
      <c r="AQ43" s="5">
        <f>513.33</f>
        <v>513.33000000000004</v>
      </c>
      <c r="AR43" s="5">
        <f t="shared" si="48"/>
        <v>-513.33000000000004</v>
      </c>
      <c r="AS43" s="6">
        <f t="shared" si="49"/>
        <v>0</v>
      </c>
      <c r="AT43" s="4"/>
      <c r="AU43" s="5">
        <f>513.37</f>
        <v>513.37</v>
      </c>
      <c r="AV43" s="5">
        <f t="shared" si="50"/>
        <v>-513.37</v>
      </c>
      <c r="AW43" s="6">
        <f t="shared" si="51"/>
        <v>0</v>
      </c>
      <c r="AX43" s="20">
        <f t="shared" si="52"/>
        <v>7685.46</v>
      </c>
      <c r="AY43" s="5">
        <f t="shared" si="53"/>
        <v>6160</v>
      </c>
      <c r="AZ43" s="5">
        <f t="shared" si="54"/>
        <v>1525.46</v>
      </c>
      <c r="BA43" s="14">
        <f t="shared" si="55"/>
        <v>1.2476396103896104</v>
      </c>
    </row>
    <row r="44" spans="1:53" x14ac:dyDescent="0.25">
      <c r="A44" s="3" t="s">
        <v>53</v>
      </c>
      <c r="B44" s="5">
        <f>207.4</f>
        <v>207.4</v>
      </c>
      <c r="C44" s="5">
        <f>72.83</f>
        <v>72.83</v>
      </c>
      <c r="D44" s="5">
        <f t="shared" si="28"/>
        <v>134.57</v>
      </c>
      <c r="E44" s="6">
        <f t="shared" si="29"/>
        <v>2.8477275847864894</v>
      </c>
      <c r="F44" s="4"/>
      <c r="G44" s="5">
        <f>72.83</f>
        <v>72.83</v>
      </c>
      <c r="H44" s="5">
        <f t="shared" si="30"/>
        <v>-72.83</v>
      </c>
      <c r="I44" s="6">
        <f t="shared" si="31"/>
        <v>0</v>
      </c>
      <c r="J44" s="4"/>
      <c r="K44" s="5">
        <f>72.83</f>
        <v>72.83</v>
      </c>
      <c r="L44" s="5">
        <f t="shared" si="32"/>
        <v>-72.83</v>
      </c>
      <c r="M44" s="6">
        <f t="shared" si="33"/>
        <v>0</v>
      </c>
      <c r="N44" s="4"/>
      <c r="O44" s="5">
        <f>72.83</f>
        <v>72.83</v>
      </c>
      <c r="P44" s="5">
        <f t="shared" si="34"/>
        <v>-72.83</v>
      </c>
      <c r="Q44" s="6">
        <f t="shared" si="35"/>
        <v>0</v>
      </c>
      <c r="R44" s="4"/>
      <c r="S44" s="5">
        <f>72.83</f>
        <v>72.83</v>
      </c>
      <c r="T44" s="5">
        <f t="shared" si="36"/>
        <v>-72.83</v>
      </c>
      <c r="U44" s="6">
        <f t="shared" si="37"/>
        <v>0</v>
      </c>
      <c r="V44" s="4"/>
      <c r="W44" s="5">
        <f>72.83</f>
        <v>72.83</v>
      </c>
      <c r="X44" s="5">
        <f t="shared" si="38"/>
        <v>-72.83</v>
      </c>
      <c r="Y44" s="6">
        <f t="shared" si="39"/>
        <v>0</v>
      </c>
      <c r="Z44" s="4"/>
      <c r="AA44" s="5">
        <f>72.83</f>
        <v>72.83</v>
      </c>
      <c r="AB44" s="5">
        <f t="shared" si="40"/>
        <v>-72.83</v>
      </c>
      <c r="AC44" s="6">
        <f t="shared" si="41"/>
        <v>0</v>
      </c>
      <c r="AD44" s="4"/>
      <c r="AE44" s="5">
        <f>72.83</f>
        <v>72.83</v>
      </c>
      <c r="AF44" s="5">
        <f t="shared" si="42"/>
        <v>-72.83</v>
      </c>
      <c r="AG44" s="6">
        <f t="shared" si="43"/>
        <v>0</v>
      </c>
      <c r="AH44" s="5">
        <f>998.66</f>
        <v>998.66</v>
      </c>
      <c r="AI44" s="5">
        <f>72.83</f>
        <v>72.83</v>
      </c>
      <c r="AJ44" s="5">
        <f t="shared" si="44"/>
        <v>925.82999999999993</v>
      </c>
      <c r="AK44" s="6">
        <f t="shared" si="45"/>
        <v>13.712206508307016</v>
      </c>
      <c r="AL44" s="4"/>
      <c r="AM44" s="5">
        <f>72.83</f>
        <v>72.83</v>
      </c>
      <c r="AN44" s="5">
        <f t="shared" si="46"/>
        <v>-72.83</v>
      </c>
      <c r="AO44" s="6">
        <f t="shared" si="47"/>
        <v>0</v>
      </c>
      <c r="AP44" s="4"/>
      <c r="AQ44" s="5">
        <f>72.83</f>
        <v>72.83</v>
      </c>
      <c r="AR44" s="5">
        <f t="shared" si="48"/>
        <v>-72.83</v>
      </c>
      <c r="AS44" s="6">
        <f t="shared" si="49"/>
        <v>0</v>
      </c>
      <c r="AT44" s="4"/>
      <c r="AU44" s="5">
        <f>72.87</f>
        <v>72.87</v>
      </c>
      <c r="AV44" s="5">
        <f t="shared" si="50"/>
        <v>-72.87</v>
      </c>
      <c r="AW44" s="6">
        <f t="shared" si="51"/>
        <v>0</v>
      </c>
      <c r="AX44" s="20">
        <f t="shared" si="52"/>
        <v>1206.06</v>
      </c>
      <c r="AY44" s="5">
        <f t="shared" si="53"/>
        <v>874.00000000000011</v>
      </c>
      <c r="AZ44" s="5">
        <f t="shared" si="54"/>
        <v>332.05999999999983</v>
      </c>
      <c r="BA44" s="14">
        <f t="shared" si="55"/>
        <v>1.3799313501144161</v>
      </c>
    </row>
    <row r="45" spans="1:53" x14ac:dyDescent="0.25">
      <c r="A45" s="3" t="s">
        <v>54</v>
      </c>
      <c r="B45" s="5">
        <f>89.83</f>
        <v>89.83</v>
      </c>
      <c r="C45" s="5">
        <f>91.67</f>
        <v>91.67</v>
      </c>
      <c r="D45" s="5">
        <f t="shared" si="28"/>
        <v>-1.8400000000000034</v>
      </c>
      <c r="E45" s="6">
        <f t="shared" si="29"/>
        <v>0.97992800261808655</v>
      </c>
      <c r="F45" s="5">
        <f>89.83</f>
        <v>89.83</v>
      </c>
      <c r="G45" s="5">
        <f>91.67</f>
        <v>91.67</v>
      </c>
      <c r="H45" s="5">
        <f t="shared" si="30"/>
        <v>-1.8400000000000034</v>
      </c>
      <c r="I45" s="6">
        <f t="shared" si="31"/>
        <v>0.97992800261808655</v>
      </c>
      <c r="J45" s="5">
        <f>90.61</f>
        <v>90.61</v>
      </c>
      <c r="K45" s="5">
        <f>91.67</f>
        <v>91.67</v>
      </c>
      <c r="L45" s="5">
        <f t="shared" si="32"/>
        <v>-1.0600000000000023</v>
      </c>
      <c r="M45" s="6">
        <f t="shared" si="33"/>
        <v>0.98843678411694114</v>
      </c>
      <c r="N45" s="5">
        <f>90.61</f>
        <v>90.61</v>
      </c>
      <c r="O45" s="5">
        <f>91.67</f>
        <v>91.67</v>
      </c>
      <c r="P45" s="5">
        <f t="shared" si="34"/>
        <v>-1.0600000000000023</v>
      </c>
      <c r="Q45" s="6">
        <f t="shared" si="35"/>
        <v>0.98843678411694114</v>
      </c>
      <c r="R45" s="5">
        <f>89.83</f>
        <v>89.83</v>
      </c>
      <c r="S45" s="5">
        <f>91.67</f>
        <v>91.67</v>
      </c>
      <c r="T45" s="5">
        <f t="shared" si="36"/>
        <v>-1.8400000000000034</v>
      </c>
      <c r="U45" s="6">
        <f t="shared" si="37"/>
        <v>0.97992800261808655</v>
      </c>
      <c r="V45" s="5">
        <f>89.83</f>
        <v>89.83</v>
      </c>
      <c r="W45" s="5">
        <f>91.67</f>
        <v>91.67</v>
      </c>
      <c r="X45" s="5">
        <f t="shared" si="38"/>
        <v>-1.8400000000000034</v>
      </c>
      <c r="Y45" s="6">
        <f t="shared" si="39"/>
        <v>0.97992800261808655</v>
      </c>
      <c r="Z45" s="5">
        <f>89.83</f>
        <v>89.83</v>
      </c>
      <c r="AA45" s="5">
        <f>91.67</f>
        <v>91.67</v>
      </c>
      <c r="AB45" s="5">
        <f t="shared" si="40"/>
        <v>-1.8400000000000034</v>
      </c>
      <c r="AC45" s="6">
        <f t="shared" si="41"/>
        <v>0.97992800261808655</v>
      </c>
      <c r="AD45" s="5">
        <f>89.83</f>
        <v>89.83</v>
      </c>
      <c r="AE45" s="5">
        <f>91.67</f>
        <v>91.67</v>
      </c>
      <c r="AF45" s="5">
        <f t="shared" si="42"/>
        <v>-1.8400000000000034</v>
      </c>
      <c r="AG45" s="6">
        <f t="shared" si="43"/>
        <v>0.97992800261808655</v>
      </c>
      <c r="AH45" s="5">
        <f>89.83</f>
        <v>89.83</v>
      </c>
      <c r="AI45" s="5">
        <f>91.67</f>
        <v>91.67</v>
      </c>
      <c r="AJ45" s="5">
        <f t="shared" si="44"/>
        <v>-1.8400000000000034</v>
      </c>
      <c r="AK45" s="6">
        <f t="shared" si="45"/>
        <v>0.97992800261808655</v>
      </c>
      <c r="AL45" s="5">
        <f>89.83</f>
        <v>89.83</v>
      </c>
      <c r="AM45" s="5">
        <f>91.67</f>
        <v>91.67</v>
      </c>
      <c r="AN45" s="5">
        <f t="shared" si="46"/>
        <v>-1.8400000000000034</v>
      </c>
      <c r="AO45" s="6">
        <f t="shared" si="47"/>
        <v>0.97992800261808655</v>
      </c>
      <c r="AP45" s="4"/>
      <c r="AQ45" s="5">
        <f>91.67</f>
        <v>91.67</v>
      </c>
      <c r="AR45" s="5">
        <f t="shared" si="48"/>
        <v>-91.67</v>
      </c>
      <c r="AS45" s="6">
        <f t="shared" si="49"/>
        <v>0</v>
      </c>
      <c r="AT45" s="4"/>
      <c r="AU45" s="5">
        <f>91.63</f>
        <v>91.63</v>
      </c>
      <c r="AV45" s="5">
        <f t="shared" si="50"/>
        <v>-91.63</v>
      </c>
      <c r="AW45" s="6">
        <f t="shared" si="51"/>
        <v>0</v>
      </c>
      <c r="AX45" s="20">
        <f t="shared" si="52"/>
        <v>899.86000000000013</v>
      </c>
      <c r="AY45" s="5">
        <f t="shared" si="53"/>
        <v>1099.9999999999998</v>
      </c>
      <c r="AZ45" s="5">
        <f t="shared" si="54"/>
        <v>-200.13999999999965</v>
      </c>
      <c r="BA45" s="14">
        <f t="shared" si="55"/>
        <v>0.8180545454545457</v>
      </c>
    </row>
    <row r="46" spans="1:53" x14ac:dyDescent="0.25">
      <c r="A46" s="3" t="s">
        <v>55</v>
      </c>
      <c r="B46" s="5">
        <f>244.96</f>
        <v>244.96</v>
      </c>
      <c r="C46" s="5">
        <f>240</f>
        <v>240</v>
      </c>
      <c r="D46" s="5">
        <f t="shared" si="28"/>
        <v>4.960000000000008</v>
      </c>
      <c r="E46" s="6">
        <f t="shared" si="29"/>
        <v>1.0206666666666666</v>
      </c>
      <c r="F46" s="5">
        <f>244.96</f>
        <v>244.96</v>
      </c>
      <c r="G46" s="5">
        <f>240</f>
        <v>240</v>
      </c>
      <c r="H46" s="5">
        <f t="shared" si="30"/>
        <v>4.960000000000008</v>
      </c>
      <c r="I46" s="6">
        <f t="shared" si="31"/>
        <v>1.0206666666666666</v>
      </c>
      <c r="J46" s="5">
        <f>244.96</f>
        <v>244.96</v>
      </c>
      <c r="K46" s="5">
        <f>240</f>
        <v>240</v>
      </c>
      <c r="L46" s="5">
        <f t="shared" si="32"/>
        <v>4.960000000000008</v>
      </c>
      <c r="M46" s="6">
        <f t="shared" si="33"/>
        <v>1.0206666666666666</v>
      </c>
      <c r="N46" s="5">
        <f>244.96</f>
        <v>244.96</v>
      </c>
      <c r="O46" s="5">
        <f>240</f>
        <v>240</v>
      </c>
      <c r="P46" s="5">
        <f t="shared" si="34"/>
        <v>4.960000000000008</v>
      </c>
      <c r="Q46" s="6">
        <f t="shared" si="35"/>
        <v>1.0206666666666666</v>
      </c>
      <c r="R46" s="5">
        <f>244.96</f>
        <v>244.96</v>
      </c>
      <c r="S46" s="5">
        <f>240</f>
        <v>240</v>
      </c>
      <c r="T46" s="5">
        <f t="shared" si="36"/>
        <v>4.960000000000008</v>
      </c>
      <c r="U46" s="6">
        <f t="shared" si="37"/>
        <v>1.0206666666666666</v>
      </c>
      <c r="V46" s="5">
        <f>244.96</f>
        <v>244.96</v>
      </c>
      <c r="W46" s="5">
        <f>240</f>
        <v>240</v>
      </c>
      <c r="X46" s="5">
        <f t="shared" si="38"/>
        <v>4.960000000000008</v>
      </c>
      <c r="Y46" s="6">
        <f t="shared" si="39"/>
        <v>1.0206666666666666</v>
      </c>
      <c r="Z46" s="5">
        <f>154.84</f>
        <v>154.84</v>
      </c>
      <c r="AA46" s="5">
        <f>240</f>
        <v>240</v>
      </c>
      <c r="AB46" s="5">
        <f t="shared" si="40"/>
        <v>-85.16</v>
      </c>
      <c r="AC46" s="6">
        <f t="shared" si="41"/>
        <v>0.64516666666666667</v>
      </c>
      <c r="AD46" s="5">
        <f>179.98</f>
        <v>179.98</v>
      </c>
      <c r="AE46" s="5">
        <f>240</f>
        <v>240</v>
      </c>
      <c r="AF46" s="5">
        <f t="shared" si="42"/>
        <v>-60.02000000000001</v>
      </c>
      <c r="AG46" s="6">
        <f t="shared" si="43"/>
        <v>0.74991666666666668</v>
      </c>
      <c r="AH46" s="5">
        <f>179.98</f>
        <v>179.98</v>
      </c>
      <c r="AI46" s="5">
        <f>240</f>
        <v>240</v>
      </c>
      <c r="AJ46" s="5">
        <f t="shared" si="44"/>
        <v>-60.02000000000001</v>
      </c>
      <c r="AK46" s="6">
        <f t="shared" si="45"/>
        <v>0.74991666666666668</v>
      </c>
      <c r="AL46" s="5">
        <f>179.98</f>
        <v>179.98</v>
      </c>
      <c r="AM46" s="5">
        <f>240</f>
        <v>240</v>
      </c>
      <c r="AN46" s="5">
        <f t="shared" si="46"/>
        <v>-60.02000000000001</v>
      </c>
      <c r="AO46" s="6">
        <f t="shared" si="47"/>
        <v>0.74991666666666668</v>
      </c>
      <c r="AP46" s="4"/>
      <c r="AQ46" s="5">
        <f>240</f>
        <v>240</v>
      </c>
      <c r="AR46" s="5">
        <f t="shared" si="48"/>
        <v>-240</v>
      </c>
      <c r="AS46" s="6">
        <f t="shared" si="49"/>
        <v>0</v>
      </c>
      <c r="AT46" s="4"/>
      <c r="AU46" s="5">
        <f>240</f>
        <v>240</v>
      </c>
      <c r="AV46" s="5">
        <f t="shared" si="50"/>
        <v>-240</v>
      </c>
      <c r="AW46" s="6">
        <f t="shared" si="51"/>
        <v>0</v>
      </c>
      <c r="AX46" s="20">
        <f t="shared" si="52"/>
        <v>2164.54</v>
      </c>
      <c r="AY46" s="5">
        <f t="shared" si="53"/>
        <v>2880</v>
      </c>
      <c r="AZ46" s="5">
        <f t="shared" si="54"/>
        <v>-715.46</v>
      </c>
      <c r="BA46" s="14">
        <f t="shared" si="55"/>
        <v>0.75157638888888889</v>
      </c>
    </row>
    <row r="47" spans="1:53" x14ac:dyDescent="0.25">
      <c r="A47" s="3" t="s">
        <v>56</v>
      </c>
      <c r="B47" s="7">
        <f>(((((B41)+(B42))+(B43))+(B44))+(B45))+(B46)</f>
        <v>542.19000000000005</v>
      </c>
      <c r="C47" s="7">
        <f>(((((C41)+(C42))+(C43))+(C44))+(C45))+(C46)</f>
        <v>1001.1600000000001</v>
      </c>
      <c r="D47" s="7">
        <f t="shared" si="28"/>
        <v>-458.97</v>
      </c>
      <c r="E47" s="8">
        <f t="shared" si="29"/>
        <v>0.54156178832554236</v>
      </c>
      <c r="F47" s="7">
        <f>(((((F41)+(F42))+(F43))+(F44))+(F45))+(F46)</f>
        <v>470.6</v>
      </c>
      <c r="G47" s="7">
        <f>(((((G41)+(G42))+(G43))+(G44))+(G45))+(G46)</f>
        <v>1001.1600000000001</v>
      </c>
      <c r="H47" s="7">
        <f t="shared" si="30"/>
        <v>-530.56000000000006</v>
      </c>
      <c r="I47" s="8">
        <f t="shared" si="31"/>
        <v>0.47005473650565344</v>
      </c>
      <c r="J47" s="7">
        <f>(((((J41)+(J42))+(J43))+(J44))+(J45))+(J46)</f>
        <v>725.81000000000006</v>
      </c>
      <c r="K47" s="7">
        <f>(((((K41)+(K42))+(K43))+(K44))+(K45))+(K46)</f>
        <v>1001.1600000000001</v>
      </c>
      <c r="L47" s="7">
        <f t="shared" si="32"/>
        <v>-275.35000000000002</v>
      </c>
      <c r="M47" s="8">
        <f t="shared" si="33"/>
        <v>0.72496903591833473</v>
      </c>
      <c r="N47" s="7">
        <f>(((((N41)+(N42))+(N43))+(N44))+(N45))+(N46)</f>
        <v>625</v>
      </c>
      <c r="O47" s="7">
        <f>(((((O41)+(O42))+(O43))+(O44))+(O45))+(O46)</f>
        <v>1001.1600000000001</v>
      </c>
      <c r="P47" s="7">
        <f t="shared" si="34"/>
        <v>-376.16000000000008</v>
      </c>
      <c r="Q47" s="8">
        <f t="shared" si="35"/>
        <v>0.62427584002557024</v>
      </c>
      <c r="R47" s="7">
        <f>(((((R41)+(R42))+(R43))+(R44))+(R45))+(R46)</f>
        <v>1031.74</v>
      </c>
      <c r="S47" s="7">
        <f>(((((S41)+(S42))+(S43))+(S44))+(S45))+(S46)</f>
        <v>1001.1600000000001</v>
      </c>
      <c r="T47" s="7">
        <f t="shared" si="36"/>
        <v>30.579999999999927</v>
      </c>
      <c r="U47" s="8">
        <f t="shared" si="37"/>
        <v>1.030544568300771</v>
      </c>
      <c r="V47" s="7">
        <f>(((((V41)+(V42))+(V43))+(V44))+(V45))+(V46)</f>
        <v>1494.27</v>
      </c>
      <c r="W47" s="7">
        <f>(((((W41)+(W42))+(W43))+(W44))+(W45))+(W46)</f>
        <v>1001.1600000000001</v>
      </c>
      <c r="X47" s="7">
        <f t="shared" si="38"/>
        <v>493.1099999999999</v>
      </c>
      <c r="Y47" s="8">
        <f t="shared" si="39"/>
        <v>1.4925386551600142</v>
      </c>
      <c r="Z47" s="7">
        <f>(((((Z41)+(Z42))+(Z43))+(Z44))+(Z45))+(Z46)</f>
        <v>1740.5999999999997</v>
      </c>
      <c r="AA47" s="7">
        <f>(((((AA41)+(AA42))+(AA43))+(AA44))+(AA45))+(AA46)</f>
        <v>1001.1600000000001</v>
      </c>
      <c r="AB47" s="7">
        <f t="shared" si="40"/>
        <v>739.4399999999996</v>
      </c>
      <c r="AC47" s="8">
        <f t="shared" si="41"/>
        <v>1.7385832434376118</v>
      </c>
      <c r="AD47" s="7">
        <f>(((((AD41)+(AD42))+(AD43))+(AD44))+(AD45))+(AD46)</f>
        <v>2150.5899999999997</v>
      </c>
      <c r="AE47" s="7">
        <f>(((((AE41)+(AE42))+(AE43))+(AE44))+(AE45))+(AE46)</f>
        <v>1001.1600000000001</v>
      </c>
      <c r="AF47" s="7">
        <f t="shared" si="42"/>
        <v>1149.4299999999996</v>
      </c>
      <c r="AG47" s="8">
        <f t="shared" si="43"/>
        <v>2.1480982060809457</v>
      </c>
      <c r="AH47" s="7">
        <f>(((((AH41)+(AH42))+(AH43))+(AH44))+(AH45))+(AH46)</f>
        <v>2538.6299999999997</v>
      </c>
      <c r="AI47" s="7">
        <f>(((((AI41)+(AI42))+(AI43))+(AI44))+(AI45))+(AI46)</f>
        <v>1001.1600000000001</v>
      </c>
      <c r="AJ47" s="7">
        <f t="shared" si="44"/>
        <v>1537.4699999999996</v>
      </c>
      <c r="AK47" s="8">
        <f t="shared" si="45"/>
        <v>2.5356886012225814</v>
      </c>
      <c r="AL47" s="7">
        <f>(((((AL41)+(AL42))+(AL43))+(AL44))+(AL45))+(AL46)</f>
        <v>1205.95</v>
      </c>
      <c r="AM47" s="7">
        <f>(((((AM41)+(AM42))+(AM43))+(AM44))+(AM45))+(AM46)</f>
        <v>1001.1600000000001</v>
      </c>
      <c r="AN47" s="7">
        <f t="shared" si="46"/>
        <v>204.78999999999996</v>
      </c>
      <c r="AO47" s="8">
        <f t="shared" si="47"/>
        <v>1.2045527188461385</v>
      </c>
      <c r="AP47" s="7">
        <f>(((((AP41)+(AP42))+(AP43))+(AP44))+(AP45))+(AP46)</f>
        <v>0</v>
      </c>
      <c r="AQ47" s="7">
        <f>(((((AQ41)+(AQ42))+(AQ43))+(AQ44))+(AQ45))+(AQ46)</f>
        <v>1001.1600000000001</v>
      </c>
      <c r="AR47" s="7">
        <f t="shared" si="48"/>
        <v>-1001.1600000000001</v>
      </c>
      <c r="AS47" s="8">
        <f t="shared" si="49"/>
        <v>0</v>
      </c>
      <c r="AT47" s="7">
        <f>(((((AT41)+(AT42))+(AT43))+(AT44))+(AT45))+(AT46)</f>
        <v>0</v>
      </c>
      <c r="AU47" s="7">
        <f>(((((AU41)+(AU42))+(AU43))+(AU44))+(AU45))+(AU46)</f>
        <v>1001.24</v>
      </c>
      <c r="AV47" s="7">
        <f t="shared" si="50"/>
        <v>-1001.24</v>
      </c>
      <c r="AW47" s="8">
        <f t="shared" si="51"/>
        <v>0</v>
      </c>
      <c r="AX47" s="21">
        <f t="shared" si="52"/>
        <v>12525.38</v>
      </c>
      <c r="AY47" s="9">
        <f t="shared" si="53"/>
        <v>12014</v>
      </c>
      <c r="AZ47" s="9">
        <f t="shared" si="54"/>
        <v>511.3799999999992</v>
      </c>
      <c r="BA47" s="15">
        <f t="shared" si="55"/>
        <v>1.0425653404361577</v>
      </c>
    </row>
    <row r="48" spans="1:53" x14ac:dyDescent="0.25">
      <c r="A48" s="3" t="s">
        <v>57</v>
      </c>
      <c r="B48" s="4"/>
      <c r="C48" s="4"/>
      <c r="D48" s="5">
        <f t="shared" si="28"/>
        <v>0</v>
      </c>
      <c r="E48" s="6" t="str">
        <f t="shared" si="29"/>
        <v/>
      </c>
      <c r="F48" s="4"/>
      <c r="G48" s="4"/>
      <c r="H48" s="5">
        <f t="shared" si="30"/>
        <v>0</v>
      </c>
      <c r="I48" s="6" t="str">
        <f t="shared" si="31"/>
        <v/>
      </c>
      <c r="J48" s="4"/>
      <c r="K48" s="4"/>
      <c r="L48" s="5">
        <f t="shared" si="32"/>
        <v>0</v>
      </c>
      <c r="M48" s="6" t="str">
        <f t="shared" si="33"/>
        <v/>
      </c>
      <c r="N48" s="4"/>
      <c r="O48" s="4"/>
      <c r="P48" s="5">
        <f t="shared" si="34"/>
        <v>0</v>
      </c>
      <c r="Q48" s="6" t="str">
        <f t="shared" si="35"/>
        <v/>
      </c>
      <c r="R48" s="4"/>
      <c r="S48" s="4"/>
      <c r="T48" s="5">
        <f t="shared" si="36"/>
        <v>0</v>
      </c>
      <c r="U48" s="6" t="str">
        <f t="shared" si="37"/>
        <v/>
      </c>
      <c r="V48" s="4"/>
      <c r="W48" s="4"/>
      <c r="X48" s="5">
        <f t="shared" si="38"/>
        <v>0</v>
      </c>
      <c r="Y48" s="6" t="str">
        <f t="shared" si="39"/>
        <v/>
      </c>
      <c r="Z48" s="4"/>
      <c r="AA48" s="4"/>
      <c r="AB48" s="5">
        <f t="shared" si="40"/>
        <v>0</v>
      </c>
      <c r="AC48" s="6" t="str">
        <f t="shared" si="41"/>
        <v/>
      </c>
      <c r="AD48" s="4"/>
      <c r="AE48" s="4"/>
      <c r="AF48" s="5">
        <f t="shared" si="42"/>
        <v>0</v>
      </c>
      <c r="AG48" s="6" t="str">
        <f t="shared" si="43"/>
        <v/>
      </c>
      <c r="AH48" s="4"/>
      <c r="AI48" s="4"/>
      <c r="AJ48" s="5">
        <f t="shared" si="44"/>
        <v>0</v>
      </c>
      <c r="AK48" s="6" t="str">
        <f t="shared" si="45"/>
        <v/>
      </c>
      <c r="AL48" s="4"/>
      <c r="AM48" s="4"/>
      <c r="AN48" s="5">
        <f t="shared" si="46"/>
        <v>0</v>
      </c>
      <c r="AO48" s="6" t="str">
        <f t="shared" si="47"/>
        <v/>
      </c>
      <c r="AP48" s="4"/>
      <c r="AQ48" s="4"/>
      <c r="AR48" s="5">
        <f t="shared" si="48"/>
        <v>0</v>
      </c>
      <c r="AS48" s="6" t="str">
        <f t="shared" si="49"/>
        <v/>
      </c>
      <c r="AT48" s="4"/>
      <c r="AU48" s="4"/>
      <c r="AV48" s="5">
        <f t="shared" si="50"/>
        <v>0</v>
      </c>
      <c r="AW48" s="6" t="str">
        <f t="shared" si="51"/>
        <v/>
      </c>
      <c r="AX48" s="20">
        <f t="shared" si="52"/>
        <v>0</v>
      </c>
      <c r="AY48" s="5">
        <f t="shared" si="53"/>
        <v>0</v>
      </c>
      <c r="AZ48" s="5">
        <f t="shared" si="54"/>
        <v>0</v>
      </c>
      <c r="BA48" s="14" t="str">
        <f t="shared" si="55"/>
        <v/>
      </c>
    </row>
    <row r="49" spans="1:53" x14ac:dyDescent="0.25">
      <c r="A49" s="3" t="s">
        <v>58</v>
      </c>
      <c r="B49" s="5">
        <f>100.75</f>
        <v>100.75</v>
      </c>
      <c r="C49" s="5">
        <f>427.5</f>
        <v>427.5</v>
      </c>
      <c r="D49" s="5">
        <f t="shared" si="28"/>
        <v>-326.75</v>
      </c>
      <c r="E49" s="6">
        <f t="shared" si="29"/>
        <v>0.23567251461988303</v>
      </c>
      <c r="F49" s="5">
        <f>260.75</f>
        <v>260.75</v>
      </c>
      <c r="G49" s="5">
        <f>427.5</f>
        <v>427.5</v>
      </c>
      <c r="H49" s="5">
        <f t="shared" si="30"/>
        <v>-166.75</v>
      </c>
      <c r="I49" s="6">
        <f t="shared" si="31"/>
        <v>0.60994152046783623</v>
      </c>
      <c r="J49" s="5">
        <f>140.73</f>
        <v>140.72999999999999</v>
      </c>
      <c r="K49" s="5">
        <f>427.5</f>
        <v>427.5</v>
      </c>
      <c r="L49" s="5">
        <f t="shared" si="32"/>
        <v>-286.77</v>
      </c>
      <c r="M49" s="6">
        <f t="shared" si="33"/>
        <v>0.32919298245614032</v>
      </c>
      <c r="N49" s="5">
        <f>113.73</f>
        <v>113.73</v>
      </c>
      <c r="O49" s="5">
        <f>427.5</f>
        <v>427.5</v>
      </c>
      <c r="P49" s="5">
        <f t="shared" si="34"/>
        <v>-313.77</v>
      </c>
      <c r="Q49" s="6">
        <f t="shared" si="35"/>
        <v>0.26603508771929824</v>
      </c>
      <c r="R49" s="5">
        <f>100.75</f>
        <v>100.75</v>
      </c>
      <c r="S49" s="5">
        <f>427.5</f>
        <v>427.5</v>
      </c>
      <c r="T49" s="5">
        <f t="shared" si="36"/>
        <v>-326.75</v>
      </c>
      <c r="U49" s="6">
        <f t="shared" si="37"/>
        <v>0.23567251461988303</v>
      </c>
      <c r="V49" s="5">
        <f>1628.04</f>
        <v>1628.04</v>
      </c>
      <c r="W49" s="5">
        <f>427.5</f>
        <v>427.5</v>
      </c>
      <c r="X49" s="5">
        <f t="shared" si="38"/>
        <v>1200.54</v>
      </c>
      <c r="Y49" s="6">
        <f t="shared" si="39"/>
        <v>3.808280701754386</v>
      </c>
      <c r="Z49" s="5">
        <f>156.68</f>
        <v>156.68</v>
      </c>
      <c r="AA49" s="5">
        <f>427.5</f>
        <v>427.5</v>
      </c>
      <c r="AB49" s="5">
        <f t="shared" si="40"/>
        <v>-270.82</v>
      </c>
      <c r="AC49" s="6">
        <f t="shared" si="41"/>
        <v>0.36650292397660822</v>
      </c>
      <c r="AD49" s="5">
        <f>257.88</f>
        <v>257.88</v>
      </c>
      <c r="AE49" s="5">
        <f>427.5</f>
        <v>427.5</v>
      </c>
      <c r="AF49" s="5">
        <f t="shared" si="42"/>
        <v>-169.62</v>
      </c>
      <c r="AG49" s="6">
        <f t="shared" si="43"/>
        <v>0.60322807017543856</v>
      </c>
      <c r="AH49" s="5">
        <f>100.75</f>
        <v>100.75</v>
      </c>
      <c r="AI49" s="5">
        <f>427.5</f>
        <v>427.5</v>
      </c>
      <c r="AJ49" s="5">
        <f t="shared" si="44"/>
        <v>-326.75</v>
      </c>
      <c r="AK49" s="6">
        <f t="shared" si="45"/>
        <v>0.23567251461988303</v>
      </c>
      <c r="AL49" s="5">
        <f>100.75</f>
        <v>100.75</v>
      </c>
      <c r="AM49" s="5">
        <f>427.5</f>
        <v>427.5</v>
      </c>
      <c r="AN49" s="5">
        <f t="shared" si="46"/>
        <v>-326.75</v>
      </c>
      <c r="AO49" s="6">
        <f t="shared" si="47"/>
        <v>0.23567251461988303</v>
      </c>
      <c r="AP49" s="5"/>
      <c r="AQ49" s="5">
        <f>427.5</f>
        <v>427.5</v>
      </c>
      <c r="AR49" s="5">
        <f t="shared" si="48"/>
        <v>-427.5</v>
      </c>
      <c r="AS49" s="6">
        <f t="shared" si="49"/>
        <v>0</v>
      </c>
      <c r="AT49" s="4"/>
      <c r="AU49" s="5">
        <f>427.5</f>
        <v>427.5</v>
      </c>
      <c r="AV49" s="5">
        <f t="shared" si="50"/>
        <v>-427.5</v>
      </c>
      <c r="AW49" s="6">
        <f t="shared" si="51"/>
        <v>0</v>
      </c>
      <c r="AX49" s="20">
        <f t="shared" si="52"/>
        <v>2960.81</v>
      </c>
      <c r="AY49" s="5">
        <f t="shared" si="53"/>
        <v>5130</v>
      </c>
      <c r="AZ49" s="5">
        <f t="shared" si="54"/>
        <v>-2169.19</v>
      </c>
      <c r="BA49" s="14">
        <f t="shared" si="55"/>
        <v>0.57715594541910331</v>
      </c>
    </row>
    <row r="50" spans="1:53" x14ac:dyDescent="0.25">
      <c r="A50" s="3" t="s">
        <v>59</v>
      </c>
      <c r="B50" s="4"/>
      <c r="C50" s="5">
        <f>83.33</f>
        <v>83.33</v>
      </c>
      <c r="D50" s="5">
        <f t="shared" si="28"/>
        <v>-83.33</v>
      </c>
      <c r="E50" s="6">
        <f t="shared" si="29"/>
        <v>0</v>
      </c>
      <c r="F50" s="4"/>
      <c r="G50" s="5">
        <f>83.33</f>
        <v>83.33</v>
      </c>
      <c r="H50" s="5">
        <f t="shared" si="30"/>
        <v>-83.33</v>
      </c>
      <c r="I50" s="6">
        <f t="shared" si="31"/>
        <v>0</v>
      </c>
      <c r="J50" s="4"/>
      <c r="K50" s="5">
        <f>83.33</f>
        <v>83.33</v>
      </c>
      <c r="L50" s="5">
        <f t="shared" si="32"/>
        <v>-83.33</v>
      </c>
      <c r="M50" s="6">
        <f t="shared" si="33"/>
        <v>0</v>
      </c>
      <c r="N50" s="4"/>
      <c r="O50" s="5">
        <f>83.33</f>
        <v>83.33</v>
      </c>
      <c r="P50" s="5">
        <f t="shared" si="34"/>
        <v>-83.33</v>
      </c>
      <c r="Q50" s="6">
        <f t="shared" si="35"/>
        <v>0</v>
      </c>
      <c r="R50" s="4"/>
      <c r="S50" s="5">
        <f>83.33</f>
        <v>83.33</v>
      </c>
      <c r="T50" s="5">
        <f t="shared" si="36"/>
        <v>-83.33</v>
      </c>
      <c r="U50" s="6">
        <f t="shared" si="37"/>
        <v>0</v>
      </c>
      <c r="V50" s="4"/>
      <c r="W50" s="5">
        <f>83.33</f>
        <v>83.33</v>
      </c>
      <c r="X50" s="5">
        <f t="shared" si="38"/>
        <v>-83.33</v>
      </c>
      <c r="Y50" s="6">
        <f t="shared" si="39"/>
        <v>0</v>
      </c>
      <c r="Z50" s="4"/>
      <c r="AA50" s="5">
        <f>83.33</f>
        <v>83.33</v>
      </c>
      <c r="AB50" s="5">
        <f t="shared" si="40"/>
        <v>-83.33</v>
      </c>
      <c r="AC50" s="6">
        <f t="shared" si="41"/>
        <v>0</v>
      </c>
      <c r="AD50" s="4"/>
      <c r="AE50" s="5">
        <f>83.33</f>
        <v>83.33</v>
      </c>
      <c r="AF50" s="5">
        <f t="shared" si="42"/>
        <v>-83.33</v>
      </c>
      <c r="AG50" s="6">
        <f t="shared" si="43"/>
        <v>0</v>
      </c>
      <c r="AH50" s="4"/>
      <c r="AI50" s="5">
        <f>83.33</f>
        <v>83.33</v>
      </c>
      <c r="AJ50" s="5">
        <f t="shared" si="44"/>
        <v>-83.33</v>
      </c>
      <c r="AK50" s="6">
        <f t="shared" si="45"/>
        <v>0</v>
      </c>
      <c r="AL50" s="4"/>
      <c r="AM50" s="5">
        <f>83.33</f>
        <v>83.33</v>
      </c>
      <c r="AN50" s="5">
        <f t="shared" si="46"/>
        <v>-83.33</v>
      </c>
      <c r="AO50" s="6">
        <f t="shared" si="47"/>
        <v>0</v>
      </c>
      <c r="AP50" s="4"/>
      <c r="AQ50" s="5">
        <f>83.33</f>
        <v>83.33</v>
      </c>
      <c r="AR50" s="5">
        <f t="shared" si="48"/>
        <v>-83.33</v>
      </c>
      <c r="AS50" s="6">
        <f t="shared" si="49"/>
        <v>0</v>
      </c>
      <c r="AT50" s="4"/>
      <c r="AU50" s="5">
        <f>83.37</f>
        <v>83.37</v>
      </c>
      <c r="AV50" s="5">
        <f t="shared" si="50"/>
        <v>-83.37</v>
      </c>
      <c r="AW50" s="6">
        <f t="shared" si="51"/>
        <v>0</v>
      </c>
      <c r="AX50" s="20">
        <f t="shared" si="52"/>
        <v>0</v>
      </c>
      <c r="AY50" s="5">
        <f t="shared" si="53"/>
        <v>1000.0000000000001</v>
      </c>
      <c r="AZ50" s="5">
        <f t="shared" si="54"/>
        <v>-1000.0000000000001</v>
      </c>
      <c r="BA50" s="14">
        <f t="shared" si="55"/>
        <v>0</v>
      </c>
    </row>
    <row r="51" spans="1:53" x14ac:dyDescent="0.25">
      <c r="A51" s="3" t="s">
        <v>60</v>
      </c>
      <c r="B51" s="4"/>
      <c r="C51" s="5">
        <f>333.33</f>
        <v>333.33</v>
      </c>
      <c r="D51" s="5">
        <f t="shared" si="28"/>
        <v>-333.33</v>
      </c>
      <c r="E51" s="6">
        <f t="shared" si="29"/>
        <v>0</v>
      </c>
      <c r="F51" s="4"/>
      <c r="G51" s="5">
        <f>333.33</f>
        <v>333.33</v>
      </c>
      <c r="H51" s="5">
        <f t="shared" si="30"/>
        <v>-333.33</v>
      </c>
      <c r="I51" s="6">
        <f t="shared" si="31"/>
        <v>0</v>
      </c>
      <c r="J51" s="4"/>
      <c r="K51" s="5">
        <f>333.33</f>
        <v>333.33</v>
      </c>
      <c r="L51" s="5">
        <f t="shared" si="32"/>
        <v>-333.33</v>
      </c>
      <c r="M51" s="6">
        <f t="shared" si="33"/>
        <v>0</v>
      </c>
      <c r="N51" s="4"/>
      <c r="O51" s="5">
        <f>333.33</f>
        <v>333.33</v>
      </c>
      <c r="P51" s="5">
        <f t="shared" si="34"/>
        <v>-333.33</v>
      </c>
      <c r="Q51" s="6">
        <f t="shared" si="35"/>
        <v>0</v>
      </c>
      <c r="R51" s="4"/>
      <c r="S51" s="5">
        <f>333.33</f>
        <v>333.33</v>
      </c>
      <c r="T51" s="5">
        <f t="shared" si="36"/>
        <v>-333.33</v>
      </c>
      <c r="U51" s="6">
        <f t="shared" si="37"/>
        <v>0</v>
      </c>
      <c r="V51" s="4"/>
      <c r="W51" s="5">
        <f>333.33</f>
        <v>333.33</v>
      </c>
      <c r="X51" s="5">
        <f t="shared" si="38"/>
        <v>-333.33</v>
      </c>
      <c r="Y51" s="6">
        <f t="shared" si="39"/>
        <v>0</v>
      </c>
      <c r="Z51" s="4"/>
      <c r="AA51" s="5">
        <f>333.33</f>
        <v>333.33</v>
      </c>
      <c r="AB51" s="5">
        <f t="shared" si="40"/>
        <v>-333.33</v>
      </c>
      <c r="AC51" s="6">
        <f t="shared" si="41"/>
        <v>0</v>
      </c>
      <c r="AD51" s="5">
        <f>3868</f>
        <v>3868</v>
      </c>
      <c r="AE51" s="5">
        <f>333.33</f>
        <v>333.33</v>
      </c>
      <c r="AF51" s="5">
        <f t="shared" si="42"/>
        <v>3534.67</v>
      </c>
      <c r="AG51" s="6">
        <f t="shared" si="43"/>
        <v>11.604116041160411</v>
      </c>
      <c r="AH51" s="4"/>
      <c r="AI51" s="5">
        <f>333.33</f>
        <v>333.33</v>
      </c>
      <c r="AJ51" s="5">
        <f t="shared" si="44"/>
        <v>-333.33</v>
      </c>
      <c r="AK51" s="6">
        <f t="shared" si="45"/>
        <v>0</v>
      </c>
      <c r="AL51" s="4"/>
      <c r="AM51" s="5">
        <f>333.33</f>
        <v>333.33</v>
      </c>
      <c r="AN51" s="5">
        <f t="shared" si="46"/>
        <v>-333.33</v>
      </c>
      <c r="AO51" s="6">
        <f t="shared" si="47"/>
        <v>0</v>
      </c>
      <c r="AP51" s="4"/>
      <c r="AQ51" s="5">
        <f>333.33</f>
        <v>333.33</v>
      </c>
      <c r="AR51" s="5">
        <f t="shared" si="48"/>
        <v>-333.33</v>
      </c>
      <c r="AS51" s="6">
        <f t="shared" si="49"/>
        <v>0</v>
      </c>
      <c r="AT51" s="4"/>
      <c r="AU51" s="5">
        <f>333.37</f>
        <v>333.37</v>
      </c>
      <c r="AV51" s="5">
        <f t="shared" si="50"/>
        <v>-333.37</v>
      </c>
      <c r="AW51" s="6">
        <f t="shared" si="51"/>
        <v>0</v>
      </c>
      <c r="AX51" s="20">
        <f t="shared" si="52"/>
        <v>3868</v>
      </c>
      <c r="AY51" s="5">
        <f t="shared" si="53"/>
        <v>3999.9999999999995</v>
      </c>
      <c r="AZ51" s="5">
        <f t="shared" si="54"/>
        <v>-131.99999999999955</v>
      </c>
      <c r="BA51" s="14">
        <f t="shared" si="55"/>
        <v>0.96700000000000008</v>
      </c>
    </row>
    <row r="52" spans="1:53" x14ac:dyDescent="0.25">
      <c r="A52" s="3" t="s">
        <v>61</v>
      </c>
      <c r="B52" s="5">
        <f>75.85</f>
        <v>75.849999999999994</v>
      </c>
      <c r="C52" s="5">
        <f>83.33</f>
        <v>83.33</v>
      </c>
      <c r="D52" s="5">
        <f t="shared" ref="D52:D83" si="56">(B52)-(C52)</f>
        <v>-7.480000000000004</v>
      </c>
      <c r="E52" s="6">
        <f t="shared" ref="E52:E83" si="57">IF(C52=0,"",(B52)/(C52))</f>
        <v>0.91023640945637818</v>
      </c>
      <c r="F52" s="5">
        <f>117.84</f>
        <v>117.84</v>
      </c>
      <c r="G52" s="5">
        <f>83.33</f>
        <v>83.33</v>
      </c>
      <c r="H52" s="5">
        <f t="shared" ref="H52:H83" si="58">(F52)-(G52)</f>
        <v>34.510000000000005</v>
      </c>
      <c r="I52" s="6">
        <f t="shared" ref="I52:I83" si="59">IF(G52=0,"",(F52)/(G52))</f>
        <v>1.4141365654626186</v>
      </c>
      <c r="J52" s="5">
        <f>161.22</f>
        <v>161.22</v>
      </c>
      <c r="K52" s="5">
        <f>83.33</f>
        <v>83.33</v>
      </c>
      <c r="L52" s="5">
        <f t="shared" ref="L52:L83" si="60">(J52)-(K52)</f>
        <v>77.89</v>
      </c>
      <c r="M52" s="6">
        <f t="shared" ref="M52:M83" si="61">IF(K52=0,"",(J52)/(K52))</f>
        <v>1.9347173886955478</v>
      </c>
      <c r="N52" s="5">
        <f>169.99</f>
        <v>169.99</v>
      </c>
      <c r="O52" s="5">
        <f>83.33</f>
        <v>83.33</v>
      </c>
      <c r="P52" s="5">
        <f t="shared" ref="P52:P83" si="62">(N52)-(O52)</f>
        <v>86.660000000000011</v>
      </c>
      <c r="Q52" s="6">
        <f t="shared" ref="Q52:Q83" si="63">IF(O52=0,"",(N52)/(O52))</f>
        <v>2.0399615984639388</v>
      </c>
      <c r="R52" s="5">
        <f>81.05</f>
        <v>81.05</v>
      </c>
      <c r="S52" s="5">
        <f>83.33</f>
        <v>83.33</v>
      </c>
      <c r="T52" s="5">
        <f t="shared" ref="T52:T83" si="64">(R52)-(S52)</f>
        <v>-2.2800000000000011</v>
      </c>
      <c r="U52" s="6">
        <f t="shared" ref="U52:U83" si="65">IF(S52=0,"",(R52)/(S52))</f>
        <v>0.97263890555622223</v>
      </c>
      <c r="V52" s="4"/>
      <c r="W52" s="5">
        <f>83.33</f>
        <v>83.33</v>
      </c>
      <c r="X52" s="5">
        <f t="shared" ref="X52:X83" si="66">(V52)-(W52)</f>
        <v>-83.33</v>
      </c>
      <c r="Y52" s="6">
        <f t="shared" ref="Y52:Y83" si="67">IF(W52=0,"",(V52)/(W52))</f>
        <v>0</v>
      </c>
      <c r="Z52" s="5">
        <f>146.73</f>
        <v>146.72999999999999</v>
      </c>
      <c r="AA52" s="5">
        <f>83.33</f>
        <v>83.33</v>
      </c>
      <c r="AB52" s="5">
        <f t="shared" ref="AB52:AB83" si="68">(Z52)-(AA52)</f>
        <v>63.399999999999991</v>
      </c>
      <c r="AC52" s="6">
        <f t="shared" ref="AC52:AC83" si="69">IF(AA52=0,"",(Z52)/(AA52))</f>
        <v>1.7608304332173286</v>
      </c>
      <c r="AD52" s="5">
        <f>224.31</f>
        <v>224.31</v>
      </c>
      <c r="AE52" s="5">
        <f>83.33</f>
        <v>83.33</v>
      </c>
      <c r="AF52" s="5">
        <f t="shared" ref="AF52:AF83" si="70">(AD52)-(AE52)</f>
        <v>140.98000000000002</v>
      </c>
      <c r="AG52" s="6">
        <f t="shared" ref="AG52:AG83" si="71">IF(AE52=0,"",(AD52)/(AE52))</f>
        <v>2.6918276731069244</v>
      </c>
      <c r="AH52" s="5">
        <f>123.14</f>
        <v>123.14</v>
      </c>
      <c r="AI52" s="5">
        <f>83.33</f>
        <v>83.33</v>
      </c>
      <c r="AJ52" s="5">
        <f t="shared" ref="AJ52:AJ83" si="72">(AH52)-(AI52)</f>
        <v>39.81</v>
      </c>
      <c r="AK52" s="6">
        <f t="shared" ref="AK52:AK83" si="73">IF(AI52=0,"",(AH52)/(AI52))</f>
        <v>1.4777391095643826</v>
      </c>
      <c r="AL52" s="5">
        <f>170.59</f>
        <v>170.59</v>
      </c>
      <c r="AM52" s="5">
        <f>83.33</f>
        <v>83.33</v>
      </c>
      <c r="AN52" s="5">
        <f t="shared" ref="AN52:AN83" si="74">(AL52)-(AM52)</f>
        <v>87.26</v>
      </c>
      <c r="AO52" s="6">
        <f t="shared" ref="AO52:AO83" si="75">IF(AM52=0,"",(AL52)/(AM52))</f>
        <v>2.0471618864754593</v>
      </c>
      <c r="AP52" s="4"/>
      <c r="AQ52" s="5">
        <f>83.33</f>
        <v>83.33</v>
      </c>
      <c r="AR52" s="5">
        <f t="shared" ref="AR52:AR83" si="76">(AP52)-(AQ52)</f>
        <v>-83.33</v>
      </c>
      <c r="AS52" s="6">
        <f t="shared" ref="AS52:AS83" si="77">IF(AQ52=0,"",(AP52)/(AQ52))</f>
        <v>0</v>
      </c>
      <c r="AT52" s="4"/>
      <c r="AU52" s="5">
        <f>83.37</f>
        <v>83.37</v>
      </c>
      <c r="AV52" s="5">
        <f t="shared" ref="AV52:AV83" si="78">(AT52)-(AU52)</f>
        <v>-83.37</v>
      </c>
      <c r="AW52" s="6">
        <f t="shared" ref="AW52:AW83" si="79">IF(AU52=0,"",(AT52)/(AU52))</f>
        <v>0</v>
      </c>
      <c r="AX52" s="20">
        <f t="shared" ref="AX52:AX83" si="80">(((((((((((B52)+(F52))+(J52))+(N52))+(R52))+(V52))+(Z52))+(AD52))+(AH52))+(AL52))+(AP52))+(AT52)</f>
        <v>1270.72</v>
      </c>
      <c r="AY52" s="5">
        <f t="shared" ref="AY52:AY83" si="81">(((((((((((C52)+(G52))+(K52))+(O52))+(S52))+(W52))+(AA52))+(AE52))+(AI52))+(AM52))+(AQ52))+(AU52)</f>
        <v>1000.0000000000001</v>
      </c>
      <c r="AZ52" s="5">
        <f t="shared" ref="AZ52:AZ83" si="82">(AX52)-(AY52)</f>
        <v>270.71999999999991</v>
      </c>
      <c r="BA52" s="14">
        <f t="shared" ref="BA52:BA83" si="83">IF(AY52=0,"",(AX52)/(AY52))</f>
        <v>1.2707199999999998</v>
      </c>
    </row>
    <row r="53" spans="1:53" x14ac:dyDescent="0.25">
      <c r="A53" s="3" t="s">
        <v>62</v>
      </c>
      <c r="B53" s="4"/>
      <c r="C53" s="5">
        <f>150</f>
        <v>150</v>
      </c>
      <c r="D53" s="5">
        <f t="shared" si="56"/>
        <v>-150</v>
      </c>
      <c r="E53" s="6">
        <f t="shared" si="57"/>
        <v>0</v>
      </c>
      <c r="F53" s="4"/>
      <c r="G53" s="5">
        <f>150</f>
        <v>150</v>
      </c>
      <c r="H53" s="5">
        <f t="shared" si="58"/>
        <v>-150</v>
      </c>
      <c r="I53" s="6">
        <f t="shared" si="59"/>
        <v>0</v>
      </c>
      <c r="J53" s="4"/>
      <c r="K53" s="5">
        <f>150</f>
        <v>150</v>
      </c>
      <c r="L53" s="5">
        <f t="shared" si="60"/>
        <v>-150</v>
      </c>
      <c r="M53" s="6">
        <f t="shared" si="61"/>
        <v>0</v>
      </c>
      <c r="N53" s="4"/>
      <c r="O53" s="5">
        <f>150</f>
        <v>150</v>
      </c>
      <c r="P53" s="5">
        <f t="shared" si="62"/>
        <v>-150</v>
      </c>
      <c r="Q53" s="6">
        <f t="shared" si="63"/>
        <v>0</v>
      </c>
      <c r="R53" s="4"/>
      <c r="S53" s="5">
        <f>150</f>
        <v>150</v>
      </c>
      <c r="T53" s="5">
        <f t="shared" si="64"/>
        <v>-150</v>
      </c>
      <c r="U53" s="6">
        <f t="shared" si="65"/>
        <v>0</v>
      </c>
      <c r="V53" s="4"/>
      <c r="W53" s="5">
        <f>150</f>
        <v>150</v>
      </c>
      <c r="X53" s="5">
        <f t="shared" si="66"/>
        <v>-150</v>
      </c>
      <c r="Y53" s="6">
        <f t="shared" si="67"/>
        <v>0</v>
      </c>
      <c r="Z53" s="4"/>
      <c r="AA53" s="5">
        <f>150</f>
        <v>150</v>
      </c>
      <c r="AB53" s="5">
        <f t="shared" si="68"/>
        <v>-150</v>
      </c>
      <c r="AC53" s="6">
        <f t="shared" si="69"/>
        <v>0</v>
      </c>
      <c r="AD53" s="5">
        <f>600</f>
        <v>600</v>
      </c>
      <c r="AE53" s="5">
        <f>150</f>
        <v>150</v>
      </c>
      <c r="AF53" s="5">
        <f t="shared" si="70"/>
        <v>450</v>
      </c>
      <c r="AG53" s="6">
        <f t="shared" si="71"/>
        <v>4</v>
      </c>
      <c r="AH53" s="4"/>
      <c r="AI53" s="5">
        <f>150</f>
        <v>150</v>
      </c>
      <c r="AJ53" s="5">
        <f t="shared" si="72"/>
        <v>-150</v>
      </c>
      <c r="AK53" s="6">
        <f t="shared" si="73"/>
        <v>0</v>
      </c>
      <c r="AL53" s="4"/>
      <c r="AM53" s="5">
        <f>150</f>
        <v>150</v>
      </c>
      <c r="AN53" s="5">
        <f t="shared" si="74"/>
        <v>-150</v>
      </c>
      <c r="AO53" s="6">
        <f t="shared" si="75"/>
        <v>0</v>
      </c>
      <c r="AP53" s="4"/>
      <c r="AQ53" s="5">
        <f>150</f>
        <v>150</v>
      </c>
      <c r="AR53" s="5">
        <f t="shared" si="76"/>
        <v>-150</v>
      </c>
      <c r="AS53" s="6">
        <f t="shared" si="77"/>
        <v>0</v>
      </c>
      <c r="AT53" s="4"/>
      <c r="AU53" s="5">
        <f>150</f>
        <v>150</v>
      </c>
      <c r="AV53" s="5">
        <f t="shared" si="78"/>
        <v>-150</v>
      </c>
      <c r="AW53" s="6">
        <f t="shared" si="79"/>
        <v>0</v>
      </c>
      <c r="AX53" s="20">
        <f t="shared" si="80"/>
        <v>600</v>
      </c>
      <c r="AY53" s="5">
        <f t="shared" si="81"/>
        <v>1800</v>
      </c>
      <c r="AZ53" s="5">
        <f t="shared" si="82"/>
        <v>-1200</v>
      </c>
      <c r="BA53" s="14">
        <f t="shared" si="83"/>
        <v>0.33333333333333331</v>
      </c>
    </row>
    <row r="54" spans="1:53" x14ac:dyDescent="0.25">
      <c r="A54" s="3" t="s">
        <v>63</v>
      </c>
      <c r="B54" s="7">
        <f>(((((B48)+(B49))+(B50))+(B51))+(B52))+(B53)</f>
        <v>176.6</v>
      </c>
      <c r="C54" s="7">
        <f>(((((C48)+(C49))+(C50))+(C51))+(C52))+(C53)</f>
        <v>1077.49</v>
      </c>
      <c r="D54" s="7">
        <f t="shared" si="56"/>
        <v>-900.89</v>
      </c>
      <c r="E54" s="8">
        <f t="shared" si="57"/>
        <v>0.16389943294137299</v>
      </c>
      <c r="F54" s="7">
        <f>(((((F48)+(F49))+(F50))+(F51))+(F52))+(F53)</f>
        <v>378.59000000000003</v>
      </c>
      <c r="G54" s="7">
        <f>(((((G48)+(G49))+(G50))+(G51))+(G52))+(G53)</f>
        <v>1077.49</v>
      </c>
      <c r="H54" s="7">
        <f t="shared" si="58"/>
        <v>-698.9</v>
      </c>
      <c r="I54" s="8">
        <f t="shared" si="59"/>
        <v>0.35136288967879054</v>
      </c>
      <c r="J54" s="7">
        <f>(((((J48)+(J49))+(J50))+(J51))+(J52))+(J53)</f>
        <v>301.95</v>
      </c>
      <c r="K54" s="7">
        <f>(((((K48)+(K49))+(K50))+(K51))+(K52))+(K53)</f>
        <v>1077.49</v>
      </c>
      <c r="L54" s="7">
        <f t="shared" si="60"/>
        <v>-775.54</v>
      </c>
      <c r="M54" s="8">
        <f t="shared" si="61"/>
        <v>0.28023461934681526</v>
      </c>
      <c r="N54" s="7">
        <f>(((((N48)+(N49))+(N50))+(N51))+(N52))+(N53)</f>
        <v>283.72000000000003</v>
      </c>
      <c r="O54" s="7">
        <f>(((((O48)+(O49))+(O50))+(O51))+(O52))+(O53)</f>
        <v>1077.49</v>
      </c>
      <c r="P54" s="7">
        <f t="shared" si="62"/>
        <v>-793.77</v>
      </c>
      <c r="Q54" s="8">
        <f t="shared" si="63"/>
        <v>0.26331566882291252</v>
      </c>
      <c r="R54" s="7">
        <f>(((((R48)+(R49))+(R50))+(R51))+(R52))+(R53)</f>
        <v>181.8</v>
      </c>
      <c r="S54" s="7">
        <f>(((((S48)+(S49))+(S50))+(S51))+(S52))+(S53)</f>
        <v>1077.49</v>
      </c>
      <c r="T54" s="7">
        <f t="shared" si="64"/>
        <v>-895.69</v>
      </c>
      <c r="U54" s="8">
        <f t="shared" si="65"/>
        <v>0.16872546380940892</v>
      </c>
      <c r="V54" s="7">
        <f>(((((V48)+(V49))+(V50))+(V51))+(V52))+(V53)</f>
        <v>1628.04</v>
      </c>
      <c r="W54" s="7">
        <f>(((((W48)+(W49))+(W50))+(W51))+(W52))+(W53)</f>
        <v>1077.49</v>
      </c>
      <c r="X54" s="7">
        <f t="shared" si="66"/>
        <v>550.54999999999995</v>
      </c>
      <c r="Y54" s="8">
        <f t="shared" si="67"/>
        <v>1.5109560181533006</v>
      </c>
      <c r="Z54" s="7">
        <f>(((((Z48)+(Z49))+(Z50))+(Z51))+(Z52))+(Z53)</f>
        <v>303.40999999999997</v>
      </c>
      <c r="AA54" s="7">
        <f>(((((AA48)+(AA49))+(AA50))+(AA51))+(AA52))+(AA53)</f>
        <v>1077.49</v>
      </c>
      <c r="AB54" s="7">
        <f t="shared" si="68"/>
        <v>-774.08</v>
      </c>
      <c r="AC54" s="8">
        <f t="shared" si="69"/>
        <v>0.28158962032130225</v>
      </c>
      <c r="AD54" s="7">
        <f>(((((AD48)+(AD49))+(AD50))+(AD51))+(AD52))+(AD53)</f>
        <v>4950.1900000000005</v>
      </c>
      <c r="AE54" s="7">
        <f>(((((AE48)+(AE49))+(AE50))+(AE51))+(AE52))+(AE53)</f>
        <v>1077.49</v>
      </c>
      <c r="AF54" s="7">
        <f t="shared" si="70"/>
        <v>3872.7000000000007</v>
      </c>
      <c r="AG54" s="8">
        <f t="shared" si="71"/>
        <v>4.5941864889697355</v>
      </c>
      <c r="AH54" s="7">
        <f>(((((AH48)+(AH49))+(AH50))+(AH51))+(AH52))+(AH53)</f>
        <v>223.89</v>
      </c>
      <c r="AI54" s="7">
        <f>(((((AI48)+(AI49))+(AI50))+(AI51))+(AI52))+(AI53)</f>
        <v>1077.49</v>
      </c>
      <c r="AJ54" s="7">
        <f t="shared" si="72"/>
        <v>-853.6</v>
      </c>
      <c r="AK54" s="8">
        <f t="shared" si="73"/>
        <v>0.20778847135472253</v>
      </c>
      <c r="AL54" s="7">
        <f>(((((AL48)+(AL49))+(AL50))+(AL51))+(AL52))+(AL53)</f>
        <v>271.34000000000003</v>
      </c>
      <c r="AM54" s="7">
        <f>(((((AM48)+(AM49))+(AM50))+(AM51))+(AM52))+(AM53)</f>
        <v>1077.49</v>
      </c>
      <c r="AN54" s="7">
        <f t="shared" si="74"/>
        <v>-806.15</v>
      </c>
      <c r="AO54" s="8">
        <f t="shared" si="75"/>
        <v>0.25182600302555014</v>
      </c>
      <c r="AP54" s="7">
        <f>(((((AP48)+(AP49))+(AP50))+(AP51))+(AP52))+(AP53)</f>
        <v>0</v>
      </c>
      <c r="AQ54" s="7">
        <f>(((((AQ48)+(AQ49))+(AQ50))+(AQ51))+(AQ52))+(AQ53)</f>
        <v>1077.49</v>
      </c>
      <c r="AR54" s="7">
        <f t="shared" si="76"/>
        <v>-1077.49</v>
      </c>
      <c r="AS54" s="8">
        <f t="shared" si="77"/>
        <v>0</v>
      </c>
      <c r="AT54" s="7">
        <f>(((((AT48)+(AT49))+(AT50))+(AT51))+(AT52))+(AT53)</f>
        <v>0</v>
      </c>
      <c r="AU54" s="7">
        <f>(((((AU48)+(AU49))+(AU50))+(AU51))+(AU52))+(AU53)</f>
        <v>1077.6100000000001</v>
      </c>
      <c r="AV54" s="7">
        <f t="shared" si="78"/>
        <v>-1077.6100000000001</v>
      </c>
      <c r="AW54" s="8">
        <f t="shared" si="79"/>
        <v>0</v>
      </c>
      <c r="AX54" s="21">
        <f t="shared" si="80"/>
        <v>8699.5299999999988</v>
      </c>
      <c r="AY54" s="9">
        <f t="shared" si="81"/>
        <v>12930</v>
      </c>
      <c r="AZ54" s="9">
        <f t="shared" si="82"/>
        <v>-4230.4700000000012</v>
      </c>
      <c r="BA54" s="15">
        <f t="shared" si="83"/>
        <v>0.67281747873163178</v>
      </c>
    </row>
    <row r="55" spans="1:53" x14ac:dyDescent="0.25">
      <c r="A55" s="3" t="s">
        <v>64</v>
      </c>
      <c r="B55" s="5">
        <f>424.02</f>
        <v>424.02</v>
      </c>
      <c r="C55" s="5">
        <f>424</f>
        <v>424</v>
      </c>
      <c r="D55" s="5">
        <f t="shared" si="56"/>
        <v>1.999999999998181E-2</v>
      </c>
      <c r="E55" s="6">
        <f t="shared" si="57"/>
        <v>1.0000471698113207</v>
      </c>
      <c r="F55" s="5">
        <f>424.02</f>
        <v>424.02</v>
      </c>
      <c r="G55" s="5">
        <f>424</f>
        <v>424</v>
      </c>
      <c r="H55" s="5">
        <f t="shared" si="58"/>
        <v>1.999999999998181E-2</v>
      </c>
      <c r="I55" s="6">
        <f t="shared" si="59"/>
        <v>1.0000471698113207</v>
      </c>
      <c r="J55" s="5">
        <f>424.02</f>
        <v>424.02</v>
      </c>
      <c r="K55" s="5">
        <f>424</f>
        <v>424</v>
      </c>
      <c r="L55" s="5">
        <f t="shared" si="60"/>
        <v>1.999999999998181E-2</v>
      </c>
      <c r="M55" s="6">
        <f t="shared" si="61"/>
        <v>1.0000471698113207</v>
      </c>
      <c r="N55" s="5">
        <f>424.02</f>
        <v>424.02</v>
      </c>
      <c r="O55" s="5">
        <f>424</f>
        <v>424</v>
      </c>
      <c r="P55" s="5">
        <f t="shared" si="62"/>
        <v>1.999999999998181E-2</v>
      </c>
      <c r="Q55" s="6">
        <f t="shared" si="63"/>
        <v>1.0000471698113207</v>
      </c>
      <c r="R55" s="5">
        <f>424.02</f>
        <v>424.02</v>
      </c>
      <c r="S55" s="5">
        <f>424</f>
        <v>424</v>
      </c>
      <c r="T55" s="5">
        <f t="shared" si="64"/>
        <v>1.999999999998181E-2</v>
      </c>
      <c r="U55" s="6">
        <f t="shared" si="65"/>
        <v>1.0000471698113207</v>
      </c>
      <c r="V55" s="5">
        <f>3194</f>
        <v>3194</v>
      </c>
      <c r="W55" s="5">
        <f>424</f>
        <v>424</v>
      </c>
      <c r="X55" s="5">
        <f t="shared" si="66"/>
        <v>2770</v>
      </c>
      <c r="Y55" s="6">
        <f t="shared" si="67"/>
        <v>7.533018867924528</v>
      </c>
      <c r="Z55" s="4"/>
      <c r="AA55" s="5">
        <f>424</f>
        <v>424</v>
      </c>
      <c r="AB55" s="5">
        <f t="shared" si="68"/>
        <v>-424</v>
      </c>
      <c r="AC55" s="6">
        <f t="shared" si="69"/>
        <v>0</v>
      </c>
      <c r="AD55" s="5">
        <f>361.06</f>
        <v>361.06</v>
      </c>
      <c r="AE55" s="5">
        <f>424</f>
        <v>424</v>
      </c>
      <c r="AF55" s="5">
        <f t="shared" si="70"/>
        <v>-62.94</v>
      </c>
      <c r="AG55" s="6">
        <f t="shared" si="71"/>
        <v>0.85155660377358489</v>
      </c>
      <c r="AH55" s="4"/>
      <c r="AI55" s="5">
        <f>424</f>
        <v>424</v>
      </c>
      <c r="AJ55" s="5">
        <f t="shared" si="72"/>
        <v>-424</v>
      </c>
      <c r="AK55" s="6">
        <f t="shared" si="73"/>
        <v>0</v>
      </c>
      <c r="AL55" s="4"/>
      <c r="AM55" s="5">
        <f>424</f>
        <v>424</v>
      </c>
      <c r="AN55" s="5">
        <f t="shared" si="74"/>
        <v>-424</v>
      </c>
      <c r="AO55" s="6">
        <f t="shared" si="75"/>
        <v>0</v>
      </c>
      <c r="AP55" s="4"/>
      <c r="AQ55" s="5">
        <f>424</f>
        <v>424</v>
      </c>
      <c r="AR55" s="5">
        <f t="shared" si="76"/>
        <v>-424</v>
      </c>
      <c r="AS55" s="6">
        <f t="shared" si="77"/>
        <v>0</v>
      </c>
      <c r="AT55" s="4"/>
      <c r="AU55" s="5">
        <f>424</f>
        <v>424</v>
      </c>
      <c r="AV55" s="5">
        <f t="shared" si="78"/>
        <v>-424</v>
      </c>
      <c r="AW55" s="6">
        <f t="shared" si="79"/>
        <v>0</v>
      </c>
      <c r="AX55" s="20">
        <f t="shared" si="80"/>
        <v>5675.1600000000008</v>
      </c>
      <c r="AY55" s="5">
        <f t="shared" si="81"/>
        <v>5088</v>
      </c>
      <c r="AZ55" s="5">
        <f t="shared" si="82"/>
        <v>587.16000000000076</v>
      </c>
      <c r="BA55" s="14">
        <f t="shared" si="83"/>
        <v>1.1154009433962266</v>
      </c>
    </row>
    <row r="56" spans="1:53" x14ac:dyDescent="0.25">
      <c r="A56" s="3" t="s">
        <v>65</v>
      </c>
      <c r="B56" s="5">
        <f>84.6</f>
        <v>84.6</v>
      </c>
      <c r="C56" s="5">
        <f>279.17</f>
        <v>279.17</v>
      </c>
      <c r="D56" s="5">
        <f t="shared" si="56"/>
        <v>-194.57000000000002</v>
      </c>
      <c r="E56" s="6">
        <f t="shared" si="57"/>
        <v>0.30304115771751977</v>
      </c>
      <c r="F56" s="5">
        <f>177.87</f>
        <v>177.87</v>
      </c>
      <c r="G56" s="5">
        <f>279.17</f>
        <v>279.17</v>
      </c>
      <c r="H56" s="5">
        <f t="shared" si="58"/>
        <v>-101.30000000000001</v>
      </c>
      <c r="I56" s="6">
        <f t="shared" si="59"/>
        <v>0.63713866103091299</v>
      </c>
      <c r="J56" s="5">
        <f>80.63</f>
        <v>80.63</v>
      </c>
      <c r="K56" s="5">
        <f>279.17</f>
        <v>279.17</v>
      </c>
      <c r="L56" s="5">
        <f t="shared" si="60"/>
        <v>-198.54000000000002</v>
      </c>
      <c r="M56" s="6">
        <f t="shared" si="61"/>
        <v>0.28882043199484181</v>
      </c>
      <c r="N56" s="5">
        <f>119.52</f>
        <v>119.52</v>
      </c>
      <c r="O56" s="5">
        <f>279.17</f>
        <v>279.17</v>
      </c>
      <c r="P56" s="5">
        <f t="shared" si="62"/>
        <v>-159.65000000000003</v>
      </c>
      <c r="Q56" s="6">
        <f t="shared" si="63"/>
        <v>0.42812623132858113</v>
      </c>
      <c r="R56" s="5">
        <f>540.07</f>
        <v>540.07000000000005</v>
      </c>
      <c r="S56" s="5">
        <f>279.17</f>
        <v>279.17</v>
      </c>
      <c r="T56" s="5">
        <f t="shared" si="64"/>
        <v>260.90000000000003</v>
      </c>
      <c r="U56" s="6">
        <f t="shared" si="65"/>
        <v>1.9345560053014292</v>
      </c>
      <c r="V56" s="5">
        <f>36.59</f>
        <v>36.590000000000003</v>
      </c>
      <c r="W56" s="5">
        <f>279.17</f>
        <v>279.17</v>
      </c>
      <c r="X56" s="5">
        <f t="shared" si="66"/>
        <v>-242.58</v>
      </c>
      <c r="Y56" s="6">
        <f t="shared" si="67"/>
        <v>0.13106709173621808</v>
      </c>
      <c r="Z56" s="5">
        <f>36.59</f>
        <v>36.590000000000003</v>
      </c>
      <c r="AA56" s="5">
        <f>279.17</f>
        <v>279.17</v>
      </c>
      <c r="AB56" s="5">
        <f t="shared" si="68"/>
        <v>-242.58</v>
      </c>
      <c r="AC56" s="6">
        <f t="shared" si="69"/>
        <v>0.13106709173621808</v>
      </c>
      <c r="AD56" s="5">
        <f>140.19</f>
        <v>140.19</v>
      </c>
      <c r="AE56" s="5">
        <f>279.17</f>
        <v>279.17</v>
      </c>
      <c r="AF56" s="5">
        <f t="shared" si="70"/>
        <v>-138.98000000000002</v>
      </c>
      <c r="AG56" s="6">
        <f t="shared" si="71"/>
        <v>0.50216713830282622</v>
      </c>
      <c r="AH56" s="5">
        <f>256.81</f>
        <v>256.81</v>
      </c>
      <c r="AI56" s="5">
        <f>279.17</f>
        <v>279.17</v>
      </c>
      <c r="AJ56" s="5">
        <f t="shared" si="72"/>
        <v>-22.360000000000014</v>
      </c>
      <c r="AK56" s="6">
        <f t="shared" si="73"/>
        <v>0.91990543396496749</v>
      </c>
      <c r="AL56" s="5">
        <f>115.81</f>
        <v>115.81</v>
      </c>
      <c r="AM56" s="5">
        <f>279.17</f>
        <v>279.17</v>
      </c>
      <c r="AN56" s="5">
        <f t="shared" si="74"/>
        <v>-163.36000000000001</v>
      </c>
      <c r="AO56" s="6">
        <f t="shared" si="75"/>
        <v>0.41483683776910124</v>
      </c>
      <c r="AP56" s="4"/>
      <c r="AQ56" s="5">
        <f>279.17</f>
        <v>279.17</v>
      </c>
      <c r="AR56" s="5">
        <f t="shared" si="76"/>
        <v>-279.17</v>
      </c>
      <c r="AS56" s="6">
        <f t="shared" si="77"/>
        <v>0</v>
      </c>
      <c r="AT56" s="4"/>
      <c r="AU56" s="5">
        <f>279.13</f>
        <v>279.13</v>
      </c>
      <c r="AV56" s="5">
        <f t="shared" si="78"/>
        <v>-279.13</v>
      </c>
      <c r="AW56" s="6">
        <f t="shared" si="79"/>
        <v>0</v>
      </c>
      <c r="AX56" s="20">
        <f t="shared" si="80"/>
        <v>1588.6799999999998</v>
      </c>
      <c r="AY56" s="5">
        <f t="shared" si="81"/>
        <v>3350.0000000000005</v>
      </c>
      <c r="AZ56" s="5">
        <f t="shared" si="82"/>
        <v>-1761.3200000000006</v>
      </c>
      <c r="BA56" s="14">
        <f t="shared" si="83"/>
        <v>0.47423283582089543</v>
      </c>
    </row>
    <row r="57" spans="1:53" x14ac:dyDescent="0.25">
      <c r="A57" s="3" t="s">
        <v>66</v>
      </c>
      <c r="B57" s="5">
        <f>1891.09</f>
        <v>1891.09</v>
      </c>
      <c r="C57" s="5">
        <f>566.67</f>
        <v>566.66999999999996</v>
      </c>
      <c r="D57" s="5">
        <f t="shared" si="56"/>
        <v>1324.42</v>
      </c>
      <c r="E57" s="6">
        <f t="shared" si="57"/>
        <v>3.3371980164822559</v>
      </c>
      <c r="F57" s="5">
        <f>1224.38</f>
        <v>1224.3800000000001</v>
      </c>
      <c r="G57" s="5">
        <f>566.67</f>
        <v>566.66999999999996</v>
      </c>
      <c r="H57" s="5">
        <f t="shared" si="58"/>
        <v>657.71000000000015</v>
      </c>
      <c r="I57" s="6">
        <f t="shared" si="59"/>
        <v>2.1606578784830681</v>
      </c>
      <c r="J57" s="5">
        <f>672.45</f>
        <v>672.45</v>
      </c>
      <c r="K57" s="5">
        <f>566.67</f>
        <v>566.66999999999996</v>
      </c>
      <c r="L57" s="5">
        <f t="shared" si="60"/>
        <v>105.78000000000009</v>
      </c>
      <c r="M57" s="6">
        <f t="shared" si="61"/>
        <v>1.1866694901794697</v>
      </c>
      <c r="N57" s="5">
        <f>800.87</f>
        <v>800.87</v>
      </c>
      <c r="O57" s="5">
        <f>566.67</f>
        <v>566.66999999999996</v>
      </c>
      <c r="P57" s="5">
        <f t="shared" si="62"/>
        <v>234.20000000000005</v>
      </c>
      <c r="Q57" s="6">
        <f t="shared" si="63"/>
        <v>1.4132916865194911</v>
      </c>
      <c r="R57" s="5">
        <f>806.7</f>
        <v>806.7</v>
      </c>
      <c r="S57" s="5">
        <f>566.67</f>
        <v>566.66999999999996</v>
      </c>
      <c r="T57" s="5">
        <f t="shared" si="64"/>
        <v>240.03000000000009</v>
      </c>
      <c r="U57" s="6">
        <f t="shared" si="65"/>
        <v>1.4235798612949337</v>
      </c>
      <c r="V57" s="5">
        <f>406</f>
        <v>406</v>
      </c>
      <c r="W57" s="5">
        <f>566.67</f>
        <v>566.66999999999996</v>
      </c>
      <c r="X57" s="5">
        <f t="shared" si="66"/>
        <v>-160.66999999999996</v>
      </c>
      <c r="Y57" s="6">
        <f t="shared" si="67"/>
        <v>0.71646637372721345</v>
      </c>
      <c r="Z57" s="5">
        <f>670.28</f>
        <v>670.28</v>
      </c>
      <c r="AA57" s="5">
        <f>566.67</f>
        <v>566.66999999999996</v>
      </c>
      <c r="AB57" s="5">
        <f t="shared" si="68"/>
        <v>103.61000000000001</v>
      </c>
      <c r="AC57" s="6">
        <f t="shared" si="69"/>
        <v>1.1828401009405827</v>
      </c>
      <c r="AD57" s="5">
        <f>637.46</f>
        <v>637.46</v>
      </c>
      <c r="AE57" s="5">
        <f>566.67</f>
        <v>566.66999999999996</v>
      </c>
      <c r="AF57" s="5">
        <f t="shared" si="70"/>
        <v>70.790000000000077</v>
      </c>
      <c r="AG57" s="6">
        <f t="shared" si="71"/>
        <v>1.1249227945717968</v>
      </c>
      <c r="AH57" s="5">
        <f>444.92</f>
        <v>444.92</v>
      </c>
      <c r="AI57" s="5">
        <f>566.67</f>
        <v>566.66999999999996</v>
      </c>
      <c r="AJ57" s="5">
        <f t="shared" si="72"/>
        <v>-121.74999999999994</v>
      </c>
      <c r="AK57" s="6">
        <f t="shared" si="73"/>
        <v>0.78514832265692558</v>
      </c>
      <c r="AL57" s="5">
        <f>659.89</f>
        <v>659.89</v>
      </c>
      <c r="AM57" s="5">
        <f>566.67</f>
        <v>566.66999999999996</v>
      </c>
      <c r="AN57" s="5">
        <f t="shared" si="74"/>
        <v>93.220000000000027</v>
      </c>
      <c r="AO57" s="6">
        <f t="shared" si="75"/>
        <v>1.1645049146769726</v>
      </c>
      <c r="AP57" s="5"/>
      <c r="AQ57" s="5">
        <f>566.67</f>
        <v>566.66999999999996</v>
      </c>
      <c r="AR57" s="5">
        <f t="shared" si="76"/>
        <v>-566.66999999999996</v>
      </c>
      <c r="AS57" s="6">
        <f t="shared" si="77"/>
        <v>0</v>
      </c>
      <c r="AT57" s="4"/>
      <c r="AU57" s="5">
        <f>566.63</f>
        <v>566.63</v>
      </c>
      <c r="AV57" s="5">
        <f t="shared" si="78"/>
        <v>-566.63</v>
      </c>
      <c r="AW57" s="6">
        <f t="shared" si="79"/>
        <v>0</v>
      </c>
      <c r="AX57" s="20">
        <f t="shared" si="80"/>
        <v>8214.0399999999991</v>
      </c>
      <c r="AY57" s="5">
        <f t="shared" si="81"/>
        <v>6800</v>
      </c>
      <c r="AZ57" s="5">
        <f t="shared" si="82"/>
        <v>1414.0399999999991</v>
      </c>
      <c r="BA57" s="14">
        <f t="shared" si="83"/>
        <v>1.2079470588235293</v>
      </c>
    </row>
    <row r="58" spans="1:53" x14ac:dyDescent="0.25">
      <c r="A58" s="3" t="s">
        <v>67</v>
      </c>
      <c r="B58" s="4"/>
      <c r="C58" s="4"/>
      <c r="D58" s="5">
        <f t="shared" si="56"/>
        <v>0</v>
      </c>
      <c r="E58" s="6" t="str">
        <f t="shared" si="57"/>
        <v/>
      </c>
      <c r="F58" s="5">
        <f>145.99</f>
        <v>145.99</v>
      </c>
      <c r="G58" s="4"/>
      <c r="H58" s="5">
        <f t="shared" si="58"/>
        <v>145.99</v>
      </c>
      <c r="I58" s="6" t="str">
        <f t="shared" si="59"/>
        <v/>
      </c>
      <c r="J58" s="5">
        <f>791.78</f>
        <v>791.78</v>
      </c>
      <c r="K58" s="4"/>
      <c r="L58" s="5">
        <f t="shared" si="60"/>
        <v>791.78</v>
      </c>
      <c r="M58" s="6" t="str">
        <f t="shared" si="61"/>
        <v/>
      </c>
      <c r="N58" s="5">
        <f>84.97</f>
        <v>84.97</v>
      </c>
      <c r="O58" s="4"/>
      <c r="P58" s="5">
        <f t="shared" si="62"/>
        <v>84.97</v>
      </c>
      <c r="Q58" s="6" t="str">
        <f t="shared" si="63"/>
        <v/>
      </c>
      <c r="R58" s="4"/>
      <c r="S58" s="4"/>
      <c r="T58" s="5">
        <f t="shared" si="64"/>
        <v>0</v>
      </c>
      <c r="U58" s="6" t="str">
        <f t="shared" si="65"/>
        <v/>
      </c>
      <c r="V58" s="5">
        <f>14503.88</f>
        <v>14503.88</v>
      </c>
      <c r="W58" s="4"/>
      <c r="X58" s="5">
        <f t="shared" si="66"/>
        <v>14503.88</v>
      </c>
      <c r="Y58" s="6" t="str">
        <f t="shared" si="67"/>
        <v/>
      </c>
      <c r="Z58" s="4"/>
      <c r="AA58" s="4"/>
      <c r="AB58" s="5">
        <f t="shared" si="68"/>
        <v>0</v>
      </c>
      <c r="AC58" s="6" t="str">
        <f t="shared" si="69"/>
        <v/>
      </c>
      <c r="AD58" s="4"/>
      <c r="AE58" s="4"/>
      <c r="AF58" s="5">
        <f t="shared" si="70"/>
        <v>0</v>
      </c>
      <c r="AG58" s="6" t="str">
        <f t="shared" si="71"/>
        <v/>
      </c>
      <c r="AH58" s="4"/>
      <c r="AI58" s="4"/>
      <c r="AJ58" s="5">
        <f t="shared" si="72"/>
        <v>0</v>
      </c>
      <c r="AK58" s="6" t="str">
        <f t="shared" si="73"/>
        <v/>
      </c>
      <c r="AL58" s="4"/>
      <c r="AM58" s="4"/>
      <c r="AN58" s="5">
        <f t="shared" si="74"/>
        <v>0</v>
      </c>
      <c r="AO58" s="6" t="str">
        <f t="shared" si="75"/>
        <v/>
      </c>
      <c r="AP58" s="4"/>
      <c r="AQ58" s="4"/>
      <c r="AR58" s="5">
        <f t="shared" si="76"/>
        <v>0</v>
      </c>
      <c r="AS58" s="6" t="str">
        <f t="shared" si="77"/>
        <v/>
      </c>
      <c r="AT58" s="4"/>
      <c r="AU58" s="4"/>
      <c r="AV58" s="5">
        <f t="shared" si="78"/>
        <v>0</v>
      </c>
      <c r="AW58" s="6" t="str">
        <f t="shared" si="79"/>
        <v/>
      </c>
      <c r="AX58" s="20">
        <f t="shared" si="80"/>
        <v>15526.619999999999</v>
      </c>
      <c r="AY58" s="5">
        <f t="shared" si="81"/>
        <v>0</v>
      </c>
      <c r="AZ58" s="5">
        <f t="shared" si="82"/>
        <v>15526.619999999999</v>
      </c>
      <c r="BA58" s="14" t="str">
        <f t="shared" si="83"/>
        <v/>
      </c>
    </row>
    <row r="59" spans="1:53" x14ac:dyDescent="0.25">
      <c r="A59" s="3" t="s">
        <v>68</v>
      </c>
      <c r="B59" s="4"/>
      <c r="C59" s="5">
        <f>0</f>
        <v>0</v>
      </c>
      <c r="D59" s="5">
        <f t="shared" si="56"/>
        <v>0</v>
      </c>
      <c r="E59" s="6" t="str">
        <f t="shared" si="57"/>
        <v/>
      </c>
      <c r="F59" s="4"/>
      <c r="G59" s="5">
        <f>0</f>
        <v>0</v>
      </c>
      <c r="H59" s="5">
        <f t="shared" si="58"/>
        <v>0</v>
      </c>
      <c r="I59" s="6" t="str">
        <f t="shared" si="59"/>
        <v/>
      </c>
      <c r="J59" s="5">
        <f>61.59</f>
        <v>61.59</v>
      </c>
      <c r="K59" s="5">
        <f>0</f>
        <v>0</v>
      </c>
      <c r="L59" s="5">
        <f t="shared" si="60"/>
        <v>61.59</v>
      </c>
      <c r="M59" s="6" t="str">
        <f t="shared" si="61"/>
        <v/>
      </c>
      <c r="N59" s="4"/>
      <c r="O59" s="5">
        <f>0</f>
        <v>0</v>
      </c>
      <c r="P59" s="5">
        <f t="shared" si="62"/>
        <v>0</v>
      </c>
      <c r="Q59" s="6" t="str">
        <f t="shared" si="63"/>
        <v/>
      </c>
      <c r="R59" s="4"/>
      <c r="S59" s="5">
        <f>0</f>
        <v>0</v>
      </c>
      <c r="T59" s="5">
        <f t="shared" si="64"/>
        <v>0</v>
      </c>
      <c r="U59" s="6" t="str">
        <f t="shared" si="65"/>
        <v/>
      </c>
      <c r="V59" s="4"/>
      <c r="W59" s="5">
        <f>0</f>
        <v>0</v>
      </c>
      <c r="X59" s="5">
        <f t="shared" si="66"/>
        <v>0</v>
      </c>
      <c r="Y59" s="6" t="str">
        <f t="shared" si="67"/>
        <v/>
      </c>
      <c r="Z59" s="4"/>
      <c r="AA59" s="5">
        <f>0</f>
        <v>0</v>
      </c>
      <c r="AB59" s="5">
        <f t="shared" si="68"/>
        <v>0</v>
      </c>
      <c r="AC59" s="6" t="str">
        <f t="shared" si="69"/>
        <v/>
      </c>
      <c r="AD59" s="4"/>
      <c r="AE59" s="5">
        <f>0</f>
        <v>0</v>
      </c>
      <c r="AF59" s="5">
        <f t="shared" si="70"/>
        <v>0</v>
      </c>
      <c r="AG59" s="6" t="str">
        <f t="shared" si="71"/>
        <v/>
      </c>
      <c r="AH59" s="4"/>
      <c r="AI59" s="5">
        <f>0</f>
        <v>0</v>
      </c>
      <c r="AJ59" s="5">
        <f t="shared" si="72"/>
        <v>0</v>
      </c>
      <c r="AK59" s="6" t="str">
        <f t="shared" si="73"/>
        <v/>
      </c>
      <c r="AL59" s="4"/>
      <c r="AM59" s="5">
        <f>0</f>
        <v>0</v>
      </c>
      <c r="AN59" s="5">
        <f t="shared" si="74"/>
        <v>0</v>
      </c>
      <c r="AO59" s="6" t="str">
        <f t="shared" si="75"/>
        <v/>
      </c>
      <c r="AP59" s="4"/>
      <c r="AQ59" s="5">
        <f>0</f>
        <v>0</v>
      </c>
      <c r="AR59" s="5">
        <f t="shared" si="76"/>
        <v>0</v>
      </c>
      <c r="AS59" s="6" t="str">
        <f t="shared" si="77"/>
        <v/>
      </c>
      <c r="AT59" s="4"/>
      <c r="AU59" s="5">
        <f>0</f>
        <v>0</v>
      </c>
      <c r="AV59" s="5">
        <f t="shared" si="78"/>
        <v>0</v>
      </c>
      <c r="AW59" s="6" t="str">
        <f t="shared" si="79"/>
        <v/>
      </c>
      <c r="AX59" s="20">
        <f t="shared" si="80"/>
        <v>61.59</v>
      </c>
      <c r="AY59" s="5">
        <f t="shared" si="81"/>
        <v>0</v>
      </c>
      <c r="AZ59" s="5">
        <f t="shared" si="82"/>
        <v>61.59</v>
      </c>
      <c r="BA59" s="14" t="str">
        <f t="shared" si="83"/>
        <v/>
      </c>
    </row>
    <row r="60" spans="1:53" x14ac:dyDescent="0.25">
      <c r="A60" s="3" t="s">
        <v>69</v>
      </c>
      <c r="B60" s="4"/>
      <c r="C60" s="5">
        <f>33.33</f>
        <v>33.33</v>
      </c>
      <c r="D60" s="5">
        <f t="shared" si="56"/>
        <v>-33.33</v>
      </c>
      <c r="E60" s="6">
        <f t="shared" si="57"/>
        <v>0</v>
      </c>
      <c r="F60" s="5">
        <f>109.99</f>
        <v>109.99</v>
      </c>
      <c r="G60" s="5">
        <f>33.33</f>
        <v>33.33</v>
      </c>
      <c r="H60" s="5">
        <f t="shared" si="58"/>
        <v>76.66</v>
      </c>
      <c r="I60" s="6">
        <f t="shared" si="59"/>
        <v>3.3000300030003</v>
      </c>
      <c r="J60" s="4"/>
      <c r="K60" s="5">
        <f>33.33</f>
        <v>33.33</v>
      </c>
      <c r="L60" s="5">
        <f t="shared" si="60"/>
        <v>-33.33</v>
      </c>
      <c r="M60" s="6">
        <f t="shared" si="61"/>
        <v>0</v>
      </c>
      <c r="N60" s="4"/>
      <c r="O60" s="5">
        <f>33.33</f>
        <v>33.33</v>
      </c>
      <c r="P60" s="5">
        <f t="shared" si="62"/>
        <v>-33.33</v>
      </c>
      <c r="Q60" s="6">
        <f t="shared" si="63"/>
        <v>0</v>
      </c>
      <c r="R60" s="4"/>
      <c r="S60" s="5">
        <f>33.33</f>
        <v>33.33</v>
      </c>
      <c r="T60" s="5">
        <f t="shared" si="64"/>
        <v>-33.33</v>
      </c>
      <c r="U60" s="6">
        <f t="shared" si="65"/>
        <v>0</v>
      </c>
      <c r="V60" s="4"/>
      <c r="W60" s="5">
        <f>33.33</f>
        <v>33.33</v>
      </c>
      <c r="X60" s="5">
        <f t="shared" si="66"/>
        <v>-33.33</v>
      </c>
      <c r="Y60" s="6">
        <f t="shared" si="67"/>
        <v>0</v>
      </c>
      <c r="Z60" s="4"/>
      <c r="AA60" s="5">
        <f>33.33</f>
        <v>33.33</v>
      </c>
      <c r="AB60" s="5">
        <f t="shared" si="68"/>
        <v>-33.33</v>
      </c>
      <c r="AC60" s="6">
        <f t="shared" si="69"/>
        <v>0</v>
      </c>
      <c r="AD60" s="4"/>
      <c r="AE60" s="5">
        <f>33.33</f>
        <v>33.33</v>
      </c>
      <c r="AF60" s="5">
        <f t="shared" si="70"/>
        <v>-33.33</v>
      </c>
      <c r="AG60" s="6">
        <f t="shared" si="71"/>
        <v>0</v>
      </c>
      <c r="AH60" s="4"/>
      <c r="AI60" s="5">
        <f>33.33</f>
        <v>33.33</v>
      </c>
      <c r="AJ60" s="5">
        <f t="shared" si="72"/>
        <v>-33.33</v>
      </c>
      <c r="AK60" s="6">
        <f t="shared" si="73"/>
        <v>0</v>
      </c>
      <c r="AL60" s="5">
        <f>84.92</f>
        <v>84.92</v>
      </c>
      <c r="AM60" s="5">
        <f>33.33</f>
        <v>33.33</v>
      </c>
      <c r="AN60" s="5">
        <f t="shared" si="74"/>
        <v>51.59</v>
      </c>
      <c r="AO60" s="6">
        <f t="shared" si="75"/>
        <v>2.547854785478548</v>
      </c>
      <c r="AP60" s="4"/>
      <c r="AQ60" s="5">
        <f>33.33</f>
        <v>33.33</v>
      </c>
      <c r="AR60" s="5">
        <f t="shared" si="76"/>
        <v>-33.33</v>
      </c>
      <c r="AS60" s="6">
        <f t="shared" si="77"/>
        <v>0</v>
      </c>
      <c r="AT60" s="4"/>
      <c r="AU60" s="5">
        <f>33.37</f>
        <v>33.369999999999997</v>
      </c>
      <c r="AV60" s="5">
        <f t="shared" si="78"/>
        <v>-33.369999999999997</v>
      </c>
      <c r="AW60" s="6">
        <f t="shared" si="79"/>
        <v>0</v>
      </c>
      <c r="AX60" s="20">
        <f t="shared" si="80"/>
        <v>194.91</v>
      </c>
      <c r="AY60" s="5">
        <f t="shared" si="81"/>
        <v>399.99999999999989</v>
      </c>
      <c r="AZ60" s="5">
        <f t="shared" si="82"/>
        <v>-205.08999999999989</v>
      </c>
      <c r="BA60" s="14">
        <f t="shared" si="83"/>
        <v>0.48727500000000012</v>
      </c>
    </row>
    <row r="61" spans="1:53" x14ac:dyDescent="0.25">
      <c r="A61" s="3" t="s">
        <v>70</v>
      </c>
      <c r="B61" s="4"/>
      <c r="C61" s="5">
        <f>20.83</f>
        <v>20.83</v>
      </c>
      <c r="D61" s="5">
        <f t="shared" si="56"/>
        <v>-20.83</v>
      </c>
      <c r="E61" s="6">
        <f t="shared" si="57"/>
        <v>0</v>
      </c>
      <c r="F61" s="4"/>
      <c r="G61" s="5">
        <f>20.83</f>
        <v>20.83</v>
      </c>
      <c r="H61" s="5">
        <f t="shared" si="58"/>
        <v>-20.83</v>
      </c>
      <c r="I61" s="6">
        <f t="shared" si="59"/>
        <v>0</v>
      </c>
      <c r="J61" s="4"/>
      <c r="K61" s="5">
        <f>20.83</f>
        <v>20.83</v>
      </c>
      <c r="L61" s="5">
        <f t="shared" si="60"/>
        <v>-20.83</v>
      </c>
      <c r="M61" s="6">
        <f t="shared" si="61"/>
        <v>0</v>
      </c>
      <c r="N61" s="4"/>
      <c r="O61" s="5">
        <f>20.83</f>
        <v>20.83</v>
      </c>
      <c r="P61" s="5">
        <f t="shared" si="62"/>
        <v>-20.83</v>
      </c>
      <c r="Q61" s="6">
        <f t="shared" si="63"/>
        <v>0</v>
      </c>
      <c r="R61" s="4"/>
      <c r="S61" s="5">
        <f>20.83</f>
        <v>20.83</v>
      </c>
      <c r="T61" s="5">
        <f t="shared" si="64"/>
        <v>-20.83</v>
      </c>
      <c r="U61" s="6">
        <f t="shared" si="65"/>
        <v>0</v>
      </c>
      <c r="V61" s="4"/>
      <c r="W61" s="5">
        <f>20.83</f>
        <v>20.83</v>
      </c>
      <c r="X61" s="5">
        <f t="shared" si="66"/>
        <v>-20.83</v>
      </c>
      <c r="Y61" s="6">
        <f t="shared" si="67"/>
        <v>0</v>
      </c>
      <c r="Z61" s="4"/>
      <c r="AA61" s="5">
        <f>20.83</f>
        <v>20.83</v>
      </c>
      <c r="AB61" s="5">
        <f t="shared" si="68"/>
        <v>-20.83</v>
      </c>
      <c r="AC61" s="6">
        <f t="shared" si="69"/>
        <v>0</v>
      </c>
      <c r="AD61" s="4"/>
      <c r="AE61" s="5">
        <f>20.83</f>
        <v>20.83</v>
      </c>
      <c r="AF61" s="5">
        <f t="shared" si="70"/>
        <v>-20.83</v>
      </c>
      <c r="AG61" s="6">
        <f t="shared" si="71"/>
        <v>0</v>
      </c>
      <c r="AH61" s="4"/>
      <c r="AI61" s="5">
        <f>20.83</f>
        <v>20.83</v>
      </c>
      <c r="AJ61" s="5">
        <f t="shared" si="72"/>
        <v>-20.83</v>
      </c>
      <c r="AK61" s="6">
        <f t="shared" si="73"/>
        <v>0</v>
      </c>
      <c r="AL61" s="4"/>
      <c r="AM61" s="5">
        <f>20.83</f>
        <v>20.83</v>
      </c>
      <c r="AN61" s="5">
        <f t="shared" si="74"/>
        <v>-20.83</v>
      </c>
      <c r="AO61" s="6">
        <f t="shared" si="75"/>
        <v>0</v>
      </c>
      <c r="AP61" s="4"/>
      <c r="AQ61" s="5">
        <f>20.83</f>
        <v>20.83</v>
      </c>
      <c r="AR61" s="5">
        <f t="shared" si="76"/>
        <v>-20.83</v>
      </c>
      <c r="AS61" s="6">
        <f t="shared" si="77"/>
        <v>0</v>
      </c>
      <c r="AT61" s="4"/>
      <c r="AU61" s="5">
        <f>20.87</f>
        <v>20.87</v>
      </c>
      <c r="AV61" s="5">
        <f t="shared" si="78"/>
        <v>-20.87</v>
      </c>
      <c r="AW61" s="6">
        <f t="shared" si="79"/>
        <v>0</v>
      </c>
      <c r="AX61" s="20">
        <f t="shared" si="80"/>
        <v>0</v>
      </c>
      <c r="AY61" s="5">
        <f t="shared" si="81"/>
        <v>249.99999999999994</v>
      </c>
      <c r="AZ61" s="5">
        <f t="shared" si="82"/>
        <v>-249.99999999999994</v>
      </c>
      <c r="BA61" s="14">
        <f t="shared" si="83"/>
        <v>0</v>
      </c>
    </row>
    <row r="62" spans="1:53" x14ac:dyDescent="0.25">
      <c r="A62" s="3" t="s">
        <v>71</v>
      </c>
      <c r="B62" s="4"/>
      <c r="C62" s="5">
        <f>8.33</f>
        <v>8.33</v>
      </c>
      <c r="D62" s="5">
        <f t="shared" si="56"/>
        <v>-8.33</v>
      </c>
      <c r="E62" s="6">
        <f t="shared" si="57"/>
        <v>0</v>
      </c>
      <c r="F62" s="4"/>
      <c r="G62" s="5">
        <f>8.33</f>
        <v>8.33</v>
      </c>
      <c r="H62" s="5">
        <f t="shared" si="58"/>
        <v>-8.33</v>
      </c>
      <c r="I62" s="6">
        <f t="shared" si="59"/>
        <v>0</v>
      </c>
      <c r="J62" s="4"/>
      <c r="K62" s="5">
        <f>8.33</f>
        <v>8.33</v>
      </c>
      <c r="L62" s="5">
        <f t="shared" si="60"/>
        <v>-8.33</v>
      </c>
      <c r="M62" s="6">
        <f t="shared" si="61"/>
        <v>0</v>
      </c>
      <c r="N62" s="4"/>
      <c r="O62" s="5">
        <f>8.33</f>
        <v>8.33</v>
      </c>
      <c r="P62" s="5">
        <f t="shared" si="62"/>
        <v>-8.33</v>
      </c>
      <c r="Q62" s="6">
        <f t="shared" si="63"/>
        <v>0</v>
      </c>
      <c r="R62" s="4"/>
      <c r="S62" s="5">
        <f>8.33</f>
        <v>8.33</v>
      </c>
      <c r="T62" s="5">
        <f t="shared" si="64"/>
        <v>-8.33</v>
      </c>
      <c r="U62" s="6">
        <f t="shared" si="65"/>
        <v>0</v>
      </c>
      <c r="V62" s="4"/>
      <c r="W62" s="5">
        <f>8.33</f>
        <v>8.33</v>
      </c>
      <c r="X62" s="5">
        <f t="shared" si="66"/>
        <v>-8.33</v>
      </c>
      <c r="Y62" s="6">
        <f t="shared" si="67"/>
        <v>0</v>
      </c>
      <c r="Z62" s="4"/>
      <c r="AA62" s="5">
        <f>8.33</f>
        <v>8.33</v>
      </c>
      <c r="AB62" s="5">
        <f t="shared" si="68"/>
        <v>-8.33</v>
      </c>
      <c r="AC62" s="6">
        <f t="shared" si="69"/>
        <v>0</v>
      </c>
      <c r="AD62" s="5">
        <f>45.72</f>
        <v>45.72</v>
      </c>
      <c r="AE62" s="5">
        <f>8.33</f>
        <v>8.33</v>
      </c>
      <c r="AF62" s="5">
        <f t="shared" si="70"/>
        <v>37.39</v>
      </c>
      <c r="AG62" s="6">
        <f t="shared" si="71"/>
        <v>5.4885954381752695</v>
      </c>
      <c r="AH62" s="4"/>
      <c r="AI62" s="5">
        <f>8.33</f>
        <v>8.33</v>
      </c>
      <c r="AJ62" s="5">
        <f t="shared" si="72"/>
        <v>-8.33</v>
      </c>
      <c r="AK62" s="6">
        <f t="shared" si="73"/>
        <v>0</v>
      </c>
      <c r="AL62" s="4"/>
      <c r="AM62" s="5">
        <f>8.33</f>
        <v>8.33</v>
      </c>
      <c r="AN62" s="5">
        <f t="shared" si="74"/>
        <v>-8.33</v>
      </c>
      <c r="AO62" s="6">
        <f t="shared" si="75"/>
        <v>0</v>
      </c>
      <c r="AP62" s="4"/>
      <c r="AQ62" s="5">
        <f>8.33</f>
        <v>8.33</v>
      </c>
      <c r="AR62" s="5">
        <f t="shared" si="76"/>
        <v>-8.33</v>
      </c>
      <c r="AS62" s="6">
        <f t="shared" si="77"/>
        <v>0</v>
      </c>
      <c r="AT62" s="4"/>
      <c r="AU62" s="5">
        <f>8.37</f>
        <v>8.3699999999999992</v>
      </c>
      <c r="AV62" s="5">
        <f t="shared" si="78"/>
        <v>-8.3699999999999992</v>
      </c>
      <c r="AW62" s="6">
        <f t="shared" si="79"/>
        <v>0</v>
      </c>
      <c r="AX62" s="20">
        <f t="shared" si="80"/>
        <v>45.72</v>
      </c>
      <c r="AY62" s="5">
        <f t="shared" si="81"/>
        <v>100</v>
      </c>
      <c r="AZ62" s="5">
        <f t="shared" si="82"/>
        <v>-54.28</v>
      </c>
      <c r="BA62" s="14">
        <f t="shared" si="83"/>
        <v>0.4572</v>
      </c>
    </row>
    <row r="63" spans="1:53" x14ac:dyDescent="0.25">
      <c r="A63" s="3" t="s">
        <v>72</v>
      </c>
      <c r="B63" s="4"/>
      <c r="C63" s="5">
        <f>12.5</f>
        <v>12.5</v>
      </c>
      <c r="D63" s="5">
        <f t="shared" si="56"/>
        <v>-12.5</v>
      </c>
      <c r="E63" s="6">
        <f t="shared" si="57"/>
        <v>0</v>
      </c>
      <c r="F63" s="4"/>
      <c r="G63" s="5">
        <f>12.5</f>
        <v>12.5</v>
      </c>
      <c r="H63" s="5">
        <f t="shared" si="58"/>
        <v>-12.5</v>
      </c>
      <c r="I63" s="6">
        <f t="shared" si="59"/>
        <v>0</v>
      </c>
      <c r="J63" s="4"/>
      <c r="K63" s="5">
        <f>12.5</f>
        <v>12.5</v>
      </c>
      <c r="L63" s="5">
        <f t="shared" si="60"/>
        <v>-12.5</v>
      </c>
      <c r="M63" s="6">
        <f t="shared" si="61"/>
        <v>0</v>
      </c>
      <c r="N63" s="4"/>
      <c r="O63" s="5">
        <f>12.5</f>
        <v>12.5</v>
      </c>
      <c r="P63" s="5">
        <f t="shared" si="62"/>
        <v>-12.5</v>
      </c>
      <c r="Q63" s="6">
        <f t="shared" si="63"/>
        <v>0</v>
      </c>
      <c r="R63" s="4"/>
      <c r="S63" s="5">
        <f>12.5</f>
        <v>12.5</v>
      </c>
      <c r="T63" s="5">
        <f t="shared" si="64"/>
        <v>-12.5</v>
      </c>
      <c r="U63" s="6">
        <f t="shared" si="65"/>
        <v>0</v>
      </c>
      <c r="V63" s="5">
        <f>45.7</f>
        <v>45.7</v>
      </c>
      <c r="W63" s="5">
        <f>12.5</f>
        <v>12.5</v>
      </c>
      <c r="X63" s="5">
        <f t="shared" si="66"/>
        <v>33.200000000000003</v>
      </c>
      <c r="Y63" s="6">
        <f t="shared" si="67"/>
        <v>3.6560000000000001</v>
      </c>
      <c r="Z63" s="4"/>
      <c r="AA63" s="5">
        <f>12.5</f>
        <v>12.5</v>
      </c>
      <c r="AB63" s="5">
        <f t="shared" si="68"/>
        <v>-12.5</v>
      </c>
      <c r="AC63" s="6">
        <f t="shared" si="69"/>
        <v>0</v>
      </c>
      <c r="AD63" s="4"/>
      <c r="AE63" s="5">
        <f>12.5</f>
        <v>12.5</v>
      </c>
      <c r="AF63" s="5">
        <f t="shared" si="70"/>
        <v>-12.5</v>
      </c>
      <c r="AG63" s="6">
        <f t="shared" si="71"/>
        <v>0</v>
      </c>
      <c r="AH63" s="4"/>
      <c r="AI63" s="5">
        <f>12.5</f>
        <v>12.5</v>
      </c>
      <c r="AJ63" s="5">
        <f t="shared" si="72"/>
        <v>-12.5</v>
      </c>
      <c r="AK63" s="6">
        <f t="shared" si="73"/>
        <v>0</v>
      </c>
      <c r="AL63" s="4"/>
      <c r="AM63" s="5">
        <f>12.5</f>
        <v>12.5</v>
      </c>
      <c r="AN63" s="5">
        <f t="shared" si="74"/>
        <v>-12.5</v>
      </c>
      <c r="AO63" s="6">
        <f t="shared" si="75"/>
        <v>0</v>
      </c>
      <c r="AP63" s="4"/>
      <c r="AQ63" s="5">
        <f>12.5</f>
        <v>12.5</v>
      </c>
      <c r="AR63" s="5">
        <f t="shared" si="76"/>
        <v>-12.5</v>
      </c>
      <c r="AS63" s="6">
        <f t="shared" si="77"/>
        <v>0</v>
      </c>
      <c r="AT63" s="4"/>
      <c r="AU63" s="5">
        <f>12.5</f>
        <v>12.5</v>
      </c>
      <c r="AV63" s="5">
        <f t="shared" si="78"/>
        <v>-12.5</v>
      </c>
      <c r="AW63" s="6">
        <f t="shared" si="79"/>
        <v>0</v>
      </c>
      <c r="AX63" s="20">
        <f t="shared" si="80"/>
        <v>45.7</v>
      </c>
      <c r="AY63" s="5">
        <f t="shared" si="81"/>
        <v>150</v>
      </c>
      <c r="AZ63" s="5">
        <f t="shared" si="82"/>
        <v>-104.3</v>
      </c>
      <c r="BA63" s="14">
        <f t="shared" si="83"/>
        <v>0.3046666666666667</v>
      </c>
    </row>
    <row r="64" spans="1:53" x14ac:dyDescent="0.25">
      <c r="A64" s="3" t="s">
        <v>73</v>
      </c>
      <c r="B64" s="4"/>
      <c r="C64" s="5">
        <f>95.83</f>
        <v>95.83</v>
      </c>
      <c r="D64" s="5">
        <f t="shared" si="56"/>
        <v>-95.83</v>
      </c>
      <c r="E64" s="6">
        <f t="shared" si="57"/>
        <v>0</v>
      </c>
      <c r="F64" s="5">
        <f>82.45</f>
        <v>82.45</v>
      </c>
      <c r="G64" s="5">
        <f>95.83</f>
        <v>95.83</v>
      </c>
      <c r="H64" s="5">
        <f t="shared" si="58"/>
        <v>-13.379999999999995</v>
      </c>
      <c r="I64" s="6">
        <f t="shared" si="59"/>
        <v>0.86037775226964419</v>
      </c>
      <c r="J64" s="5">
        <f>30.79</f>
        <v>30.79</v>
      </c>
      <c r="K64" s="5">
        <f>95.83</f>
        <v>95.83</v>
      </c>
      <c r="L64" s="5">
        <f t="shared" si="60"/>
        <v>-65.039999999999992</v>
      </c>
      <c r="M64" s="6">
        <f t="shared" si="61"/>
        <v>0.32129813210894292</v>
      </c>
      <c r="N64" s="4"/>
      <c r="O64" s="5">
        <f>95.83</f>
        <v>95.83</v>
      </c>
      <c r="P64" s="5">
        <f t="shared" si="62"/>
        <v>-95.83</v>
      </c>
      <c r="Q64" s="6">
        <f t="shared" si="63"/>
        <v>0</v>
      </c>
      <c r="R64" s="4"/>
      <c r="S64" s="5">
        <f>95.83</f>
        <v>95.83</v>
      </c>
      <c r="T64" s="5">
        <f t="shared" si="64"/>
        <v>-95.83</v>
      </c>
      <c r="U64" s="6">
        <f t="shared" si="65"/>
        <v>0</v>
      </c>
      <c r="V64" s="5">
        <f>58.07</f>
        <v>58.07</v>
      </c>
      <c r="W64" s="5">
        <f>95.83</f>
        <v>95.83</v>
      </c>
      <c r="X64" s="5">
        <f t="shared" si="66"/>
        <v>-37.76</v>
      </c>
      <c r="Y64" s="6">
        <f t="shared" si="67"/>
        <v>0.60596890326620056</v>
      </c>
      <c r="Z64" s="4"/>
      <c r="AA64" s="5">
        <f>95.83</f>
        <v>95.83</v>
      </c>
      <c r="AB64" s="5">
        <f t="shared" si="68"/>
        <v>-95.83</v>
      </c>
      <c r="AC64" s="6">
        <f t="shared" si="69"/>
        <v>0</v>
      </c>
      <c r="AD64" s="4"/>
      <c r="AE64" s="5">
        <f>95.83</f>
        <v>95.83</v>
      </c>
      <c r="AF64" s="5">
        <f t="shared" si="70"/>
        <v>-95.83</v>
      </c>
      <c r="AG64" s="6">
        <f t="shared" si="71"/>
        <v>0</v>
      </c>
      <c r="AH64" s="4"/>
      <c r="AI64" s="5">
        <f>95.83</f>
        <v>95.83</v>
      </c>
      <c r="AJ64" s="5">
        <f t="shared" si="72"/>
        <v>-95.83</v>
      </c>
      <c r="AK64" s="6">
        <f t="shared" si="73"/>
        <v>0</v>
      </c>
      <c r="AL64" s="5">
        <f>97.92</f>
        <v>97.92</v>
      </c>
      <c r="AM64" s="5">
        <f>95.83</f>
        <v>95.83</v>
      </c>
      <c r="AN64" s="5">
        <f t="shared" si="74"/>
        <v>2.0900000000000034</v>
      </c>
      <c r="AO64" s="6">
        <f t="shared" si="75"/>
        <v>1.0218094542418867</v>
      </c>
      <c r="AP64" s="4"/>
      <c r="AQ64" s="5">
        <f>95.83</f>
        <v>95.83</v>
      </c>
      <c r="AR64" s="5">
        <f t="shared" si="76"/>
        <v>-95.83</v>
      </c>
      <c r="AS64" s="6">
        <f t="shared" si="77"/>
        <v>0</v>
      </c>
      <c r="AT64" s="4"/>
      <c r="AU64" s="5">
        <f>95.87</f>
        <v>95.87</v>
      </c>
      <c r="AV64" s="5">
        <f t="shared" si="78"/>
        <v>-95.87</v>
      </c>
      <c r="AW64" s="6">
        <f t="shared" si="79"/>
        <v>0</v>
      </c>
      <c r="AX64" s="20">
        <f t="shared" si="80"/>
        <v>269.23</v>
      </c>
      <c r="AY64" s="5">
        <f t="shared" si="81"/>
        <v>1150</v>
      </c>
      <c r="AZ64" s="5">
        <f t="shared" si="82"/>
        <v>-880.77</v>
      </c>
      <c r="BA64" s="14">
        <f t="shared" si="83"/>
        <v>0.2341130434782609</v>
      </c>
    </row>
    <row r="65" spans="1:53" x14ac:dyDescent="0.25">
      <c r="A65" s="3" t="s">
        <v>74</v>
      </c>
      <c r="B65" s="5">
        <f>126</f>
        <v>126</v>
      </c>
      <c r="C65" s="5">
        <f>41.67</f>
        <v>41.67</v>
      </c>
      <c r="D65" s="5">
        <f t="shared" si="56"/>
        <v>84.33</v>
      </c>
      <c r="E65" s="6">
        <f t="shared" si="57"/>
        <v>3.0237580993520519</v>
      </c>
      <c r="F65" s="4"/>
      <c r="G65" s="5">
        <f>41.67</f>
        <v>41.67</v>
      </c>
      <c r="H65" s="5">
        <f t="shared" si="58"/>
        <v>-41.67</v>
      </c>
      <c r="I65" s="6">
        <f t="shared" si="59"/>
        <v>0</v>
      </c>
      <c r="J65" s="4"/>
      <c r="K65" s="5">
        <f>41.67</f>
        <v>41.67</v>
      </c>
      <c r="L65" s="5">
        <f t="shared" si="60"/>
        <v>-41.67</v>
      </c>
      <c r="M65" s="6">
        <f t="shared" si="61"/>
        <v>0</v>
      </c>
      <c r="N65" s="4"/>
      <c r="O65" s="5">
        <f>41.67</f>
        <v>41.67</v>
      </c>
      <c r="P65" s="5">
        <f t="shared" si="62"/>
        <v>-41.67</v>
      </c>
      <c r="Q65" s="6">
        <f t="shared" si="63"/>
        <v>0</v>
      </c>
      <c r="R65" s="4"/>
      <c r="S65" s="5">
        <f>41.67</f>
        <v>41.67</v>
      </c>
      <c r="T65" s="5">
        <f t="shared" si="64"/>
        <v>-41.67</v>
      </c>
      <c r="U65" s="6">
        <f t="shared" si="65"/>
        <v>0</v>
      </c>
      <c r="V65" s="4"/>
      <c r="W65" s="5">
        <f>41.67</f>
        <v>41.67</v>
      </c>
      <c r="X65" s="5">
        <f t="shared" si="66"/>
        <v>-41.67</v>
      </c>
      <c r="Y65" s="6">
        <f t="shared" si="67"/>
        <v>0</v>
      </c>
      <c r="Z65" s="4"/>
      <c r="AA65" s="5">
        <f>41.67</f>
        <v>41.67</v>
      </c>
      <c r="AB65" s="5">
        <f t="shared" si="68"/>
        <v>-41.67</v>
      </c>
      <c r="AC65" s="6">
        <f t="shared" si="69"/>
        <v>0</v>
      </c>
      <c r="AD65" s="5">
        <f>12.32</f>
        <v>12.32</v>
      </c>
      <c r="AE65" s="5">
        <f>41.67</f>
        <v>41.67</v>
      </c>
      <c r="AF65" s="5">
        <f t="shared" si="70"/>
        <v>-29.35</v>
      </c>
      <c r="AG65" s="6">
        <f t="shared" si="71"/>
        <v>0.2956563474922006</v>
      </c>
      <c r="AH65" s="4"/>
      <c r="AI65" s="5">
        <f>41.67</f>
        <v>41.67</v>
      </c>
      <c r="AJ65" s="5">
        <f t="shared" si="72"/>
        <v>-41.67</v>
      </c>
      <c r="AK65" s="6">
        <f t="shared" si="73"/>
        <v>0</v>
      </c>
      <c r="AL65" s="4"/>
      <c r="AM65" s="5">
        <f>41.67</f>
        <v>41.67</v>
      </c>
      <c r="AN65" s="5">
        <f t="shared" si="74"/>
        <v>-41.67</v>
      </c>
      <c r="AO65" s="6">
        <f t="shared" si="75"/>
        <v>0</v>
      </c>
      <c r="AP65" s="4"/>
      <c r="AQ65" s="5">
        <f>41.67</f>
        <v>41.67</v>
      </c>
      <c r="AR65" s="5">
        <f t="shared" si="76"/>
        <v>-41.67</v>
      </c>
      <c r="AS65" s="6">
        <f t="shared" si="77"/>
        <v>0</v>
      </c>
      <c r="AT65" s="4"/>
      <c r="AU65" s="5">
        <f>41.63</f>
        <v>41.63</v>
      </c>
      <c r="AV65" s="5">
        <f t="shared" si="78"/>
        <v>-41.63</v>
      </c>
      <c r="AW65" s="6">
        <f t="shared" si="79"/>
        <v>0</v>
      </c>
      <c r="AX65" s="20">
        <f t="shared" si="80"/>
        <v>138.32</v>
      </c>
      <c r="AY65" s="5">
        <f t="shared" si="81"/>
        <v>500.00000000000011</v>
      </c>
      <c r="AZ65" s="5">
        <f t="shared" si="82"/>
        <v>-361.68000000000012</v>
      </c>
      <c r="BA65" s="14">
        <f t="shared" si="83"/>
        <v>0.27663999999999994</v>
      </c>
    </row>
    <row r="66" spans="1:53" x14ac:dyDescent="0.25">
      <c r="A66" s="3" t="s">
        <v>75</v>
      </c>
      <c r="B66" s="4"/>
      <c r="C66" s="5">
        <f>12.5</f>
        <v>12.5</v>
      </c>
      <c r="D66" s="5">
        <f t="shared" si="56"/>
        <v>-12.5</v>
      </c>
      <c r="E66" s="6">
        <f t="shared" si="57"/>
        <v>0</v>
      </c>
      <c r="F66" s="5">
        <f>5.99</f>
        <v>5.99</v>
      </c>
      <c r="G66" s="5">
        <f>12.5</f>
        <v>12.5</v>
      </c>
      <c r="H66" s="5">
        <f t="shared" si="58"/>
        <v>-6.51</v>
      </c>
      <c r="I66" s="6">
        <f t="shared" si="59"/>
        <v>0.47920000000000001</v>
      </c>
      <c r="J66" s="4"/>
      <c r="K66" s="5">
        <f>12.5</f>
        <v>12.5</v>
      </c>
      <c r="L66" s="5">
        <f t="shared" si="60"/>
        <v>-12.5</v>
      </c>
      <c r="M66" s="6">
        <f t="shared" si="61"/>
        <v>0</v>
      </c>
      <c r="N66" s="4"/>
      <c r="O66" s="5">
        <f>12.5</f>
        <v>12.5</v>
      </c>
      <c r="P66" s="5">
        <f t="shared" si="62"/>
        <v>-12.5</v>
      </c>
      <c r="Q66" s="6">
        <f t="shared" si="63"/>
        <v>0</v>
      </c>
      <c r="R66" s="4"/>
      <c r="S66" s="5">
        <f>12.5</f>
        <v>12.5</v>
      </c>
      <c r="T66" s="5">
        <f t="shared" si="64"/>
        <v>-12.5</v>
      </c>
      <c r="U66" s="6">
        <f t="shared" si="65"/>
        <v>0</v>
      </c>
      <c r="V66" s="5">
        <f>26.09</f>
        <v>26.09</v>
      </c>
      <c r="W66" s="5">
        <f>12.5</f>
        <v>12.5</v>
      </c>
      <c r="X66" s="5">
        <f t="shared" si="66"/>
        <v>13.59</v>
      </c>
      <c r="Y66" s="6">
        <f t="shared" si="67"/>
        <v>2.0872000000000002</v>
      </c>
      <c r="Z66" s="4"/>
      <c r="AA66" s="5">
        <f>12.5</f>
        <v>12.5</v>
      </c>
      <c r="AB66" s="5">
        <f t="shared" si="68"/>
        <v>-12.5</v>
      </c>
      <c r="AC66" s="6">
        <f t="shared" si="69"/>
        <v>0</v>
      </c>
      <c r="AD66" s="4"/>
      <c r="AE66" s="5">
        <f>12.5</f>
        <v>12.5</v>
      </c>
      <c r="AF66" s="5">
        <f t="shared" si="70"/>
        <v>-12.5</v>
      </c>
      <c r="AG66" s="6">
        <f t="shared" si="71"/>
        <v>0</v>
      </c>
      <c r="AH66" s="4"/>
      <c r="AI66" s="5">
        <f>12.5</f>
        <v>12.5</v>
      </c>
      <c r="AJ66" s="5">
        <f t="shared" si="72"/>
        <v>-12.5</v>
      </c>
      <c r="AK66" s="6">
        <f t="shared" si="73"/>
        <v>0</v>
      </c>
      <c r="AL66" s="4"/>
      <c r="AM66" s="5">
        <f>12.5</f>
        <v>12.5</v>
      </c>
      <c r="AN66" s="5">
        <f t="shared" si="74"/>
        <v>-12.5</v>
      </c>
      <c r="AO66" s="6">
        <f t="shared" si="75"/>
        <v>0</v>
      </c>
      <c r="AP66" s="4"/>
      <c r="AQ66" s="5">
        <f>12.5</f>
        <v>12.5</v>
      </c>
      <c r="AR66" s="5">
        <f t="shared" si="76"/>
        <v>-12.5</v>
      </c>
      <c r="AS66" s="6">
        <f t="shared" si="77"/>
        <v>0</v>
      </c>
      <c r="AT66" s="4"/>
      <c r="AU66" s="5">
        <f>12.5</f>
        <v>12.5</v>
      </c>
      <c r="AV66" s="5">
        <f t="shared" si="78"/>
        <v>-12.5</v>
      </c>
      <c r="AW66" s="6">
        <f t="shared" si="79"/>
        <v>0</v>
      </c>
      <c r="AX66" s="20">
        <f t="shared" si="80"/>
        <v>32.08</v>
      </c>
      <c r="AY66" s="5">
        <f t="shared" si="81"/>
        <v>150</v>
      </c>
      <c r="AZ66" s="5">
        <f t="shared" si="82"/>
        <v>-117.92</v>
      </c>
      <c r="BA66" s="14">
        <f t="shared" si="83"/>
        <v>0.21386666666666665</v>
      </c>
    </row>
    <row r="67" spans="1:53" x14ac:dyDescent="0.25">
      <c r="A67" s="3" t="s">
        <v>76</v>
      </c>
      <c r="B67" s="7">
        <f>((((B62)+(B63))+(B64))+(B65))+(B66)</f>
        <v>126</v>
      </c>
      <c r="C67" s="7">
        <f>((((C62)+(C63))+(C64))+(C65))+(C66)</f>
        <v>170.82999999999998</v>
      </c>
      <c r="D67" s="7">
        <f t="shared" si="56"/>
        <v>-44.829999999999984</v>
      </c>
      <c r="E67" s="8">
        <f t="shared" si="57"/>
        <v>0.73757536732424056</v>
      </c>
      <c r="F67" s="7">
        <f>((((F62)+(F63))+(F64))+(F65))+(F66)</f>
        <v>88.44</v>
      </c>
      <c r="G67" s="7">
        <f>((((G62)+(G63))+(G64))+(G65))+(G66)</f>
        <v>170.82999999999998</v>
      </c>
      <c r="H67" s="7">
        <f t="shared" si="58"/>
        <v>-82.389999999999986</v>
      </c>
      <c r="I67" s="8">
        <f t="shared" si="59"/>
        <v>0.5177076625885384</v>
      </c>
      <c r="J67" s="7">
        <f>((((J62)+(J63))+(J64))+(J65))+(J66)</f>
        <v>30.79</v>
      </c>
      <c r="K67" s="7">
        <f>((((K62)+(K63))+(K64))+(K65))+(K66)</f>
        <v>170.82999999999998</v>
      </c>
      <c r="L67" s="7">
        <f t="shared" si="60"/>
        <v>-140.04</v>
      </c>
      <c r="M67" s="8">
        <f t="shared" si="61"/>
        <v>0.1802376631739156</v>
      </c>
      <c r="N67" s="7">
        <f>((((N62)+(N63))+(N64))+(N65))+(N66)</f>
        <v>0</v>
      </c>
      <c r="O67" s="7">
        <f>((((O62)+(O63))+(O64))+(O65))+(O66)</f>
        <v>170.82999999999998</v>
      </c>
      <c r="P67" s="7">
        <f t="shared" si="62"/>
        <v>-170.82999999999998</v>
      </c>
      <c r="Q67" s="8">
        <f t="shared" si="63"/>
        <v>0</v>
      </c>
      <c r="R67" s="7">
        <f>((((R62)+(R63))+(R64))+(R65))+(R66)</f>
        <v>0</v>
      </c>
      <c r="S67" s="7">
        <f>((((S62)+(S63))+(S64))+(S65))+(S66)</f>
        <v>170.82999999999998</v>
      </c>
      <c r="T67" s="7">
        <f t="shared" si="64"/>
        <v>-170.82999999999998</v>
      </c>
      <c r="U67" s="8">
        <f t="shared" si="65"/>
        <v>0</v>
      </c>
      <c r="V67" s="7">
        <f>((((V62)+(V63))+(V64))+(V65))+(V66)</f>
        <v>129.86000000000001</v>
      </c>
      <c r="W67" s="7">
        <f>((((W62)+(W63))+(W64))+(W65))+(W66)</f>
        <v>170.82999999999998</v>
      </c>
      <c r="X67" s="7">
        <f t="shared" si="66"/>
        <v>-40.96999999999997</v>
      </c>
      <c r="Y67" s="8">
        <f t="shared" si="67"/>
        <v>0.76017093016449111</v>
      </c>
      <c r="Z67" s="7">
        <f>((((Z62)+(Z63))+(Z64))+(Z65))+(Z66)</f>
        <v>0</v>
      </c>
      <c r="AA67" s="7">
        <f>((((AA62)+(AA63))+(AA64))+(AA65))+(AA66)</f>
        <v>170.82999999999998</v>
      </c>
      <c r="AB67" s="7">
        <f t="shared" si="68"/>
        <v>-170.82999999999998</v>
      </c>
      <c r="AC67" s="8">
        <f t="shared" si="69"/>
        <v>0</v>
      </c>
      <c r="AD67" s="7">
        <f>((((AD62)+(AD63))+(AD64))+(AD65))+(AD66)</f>
        <v>58.04</v>
      </c>
      <c r="AE67" s="7">
        <f>((((AE62)+(AE63))+(AE64))+(AE65))+(AE66)</f>
        <v>170.82999999999998</v>
      </c>
      <c r="AF67" s="7">
        <f t="shared" si="70"/>
        <v>-112.78999999999999</v>
      </c>
      <c r="AG67" s="8">
        <f t="shared" si="71"/>
        <v>0.33975297078967398</v>
      </c>
      <c r="AH67" s="7">
        <f>((((AH62)+(AH63))+(AH64))+(AH65))+(AH66)</f>
        <v>0</v>
      </c>
      <c r="AI67" s="7">
        <f>((((AI62)+(AI63))+(AI64))+(AI65))+(AI66)</f>
        <v>170.82999999999998</v>
      </c>
      <c r="AJ67" s="7">
        <f t="shared" si="72"/>
        <v>-170.82999999999998</v>
      </c>
      <c r="AK67" s="8">
        <f t="shared" si="73"/>
        <v>0</v>
      </c>
      <c r="AL67" s="7">
        <f>((((AL62)+(AL63))+(AL64))+(AL65))+(AL66)</f>
        <v>97.92</v>
      </c>
      <c r="AM67" s="7">
        <f>((((AM62)+(AM63))+(AM64))+(AM65))+(AM66)</f>
        <v>170.82999999999998</v>
      </c>
      <c r="AN67" s="7">
        <f t="shared" si="74"/>
        <v>-72.909999999999982</v>
      </c>
      <c r="AO67" s="8">
        <f t="shared" si="75"/>
        <v>0.57320142832055265</v>
      </c>
      <c r="AP67" s="7">
        <f>((((AP62)+(AP63))+(AP64))+(AP65))+(AP66)</f>
        <v>0</v>
      </c>
      <c r="AQ67" s="7">
        <f>((((AQ62)+(AQ63))+(AQ64))+(AQ65))+(AQ66)</f>
        <v>170.82999999999998</v>
      </c>
      <c r="AR67" s="7">
        <f t="shared" si="76"/>
        <v>-170.82999999999998</v>
      </c>
      <c r="AS67" s="8">
        <f t="shared" si="77"/>
        <v>0</v>
      </c>
      <c r="AT67" s="7">
        <f>((((AT62)+(AT63))+(AT64))+(AT65))+(AT66)</f>
        <v>0</v>
      </c>
      <c r="AU67" s="7">
        <f>((((AU62)+(AU63))+(AU64))+(AU65))+(AU66)</f>
        <v>170.87</v>
      </c>
      <c r="AV67" s="7">
        <f t="shared" si="78"/>
        <v>-170.87</v>
      </c>
      <c r="AW67" s="8">
        <f t="shared" si="79"/>
        <v>0</v>
      </c>
      <c r="AX67" s="21">
        <f t="shared" si="80"/>
        <v>531.05000000000007</v>
      </c>
      <c r="AY67" s="9">
        <f t="shared" si="81"/>
        <v>2049.9999999999995</v>
      </c>
      <c r="AZ67" s="9">
        <f t="shared" si="82"/>
        <v>-1518.9499999999994</v>
      </c>
      <c r="BA67" s="15">
        <f t="shared" si="83"/>
        <v>0.25904878048780494</v>
      </c>
    </row>
    <row r="68" spans="1:53" x14ac:dyDescent="0.25">
      <c r="A68" s="3" t="s">
        <v>77</v>
      </c>
      <c r="B68" s="4"/>
      <c r="C68" s="5">
        <f>20.83</f>
        <v>20.83</v>
      </c>
      <c r="D68" s="5">
        <f t="shared" si="56"/>
        <v>-20.83</v>
      </c>
      <c r="E68" s="6">
        <f t="shared" si="57"/>
        <v>0</v>
      </c>
      <c r="F68" s="4"/>
      <c r="G68" s="5">
        <f>20.83</f>
        <v>20.83</v>
      </c>
      <c r="H68" s="5">
        <f t="shared" si="58"/>
        <v>-20.83</v>
      </c>
      <c r="I68" s="6">
        <f t="shared" si="59"/>
        <v>0</v>
      </c>
      <c r="J68" s="4"/>
      <c r="K68" s="5">
        <f>20.83</f>
        <v>20.83</v>
      </c>
      <c r="L68" s="5">
        <f t="shared" si="60"/>
        <v>-20.83</v>
      </c>
      <c r="M68" s="6">
        <f t="shared" si="61"/>
        <v>0</v>
      </c>
      <c r="N68" s="4"/>
      <c r="O68" s="5">
        <f>20.83</f>
        <v>20.83</v>
      </c>
      <c r="P68" s="5">
        <f t="shared" si="62"/>
        <v>-20.83</v>
      </c>
      <c r="Q68" s="6">
        <f t="shared" si="63"/>
        <v>0</v>
      </c>
      <c r="R68" s="4"/>
      <c r="S68" s="5">
        <f>20.83</f>
        <v>20.83</v>
      </c>
      <c r="T68" s="5">
        <f t="shared" si="64"/>
        <v>-20.83</v>
      </c>
      <c r="U68" s="6">
        <f t="shared" si="65"/>
        <v>0</v>
      </c>
      <c r="V68" s="4"/>
      <c r="W68" s="5">
        <f>20.83</f>
        <v>20.83</v>
      </c>
      <c r="X68" s="5">
        <f t="shared" si="66"/>
        <v>-20.83</v>
      </c>
      <c r="Y68" s="6">
        <f t="shared" si="67"/>
        <v>0</v>
      </c>
      <c r="Z68" s="4"/>
      <c r="AA68" s="5">
        <f>20.83</f>
        <v>20.83</v>
      </c>
      <c r="AB68" s="5">
        <f t="shared" si="68"/>
        <v>-20.83</v>
      </c>
      <c r="AC68" s="6">
        <f t="shared" si="69"/>
        <v>0</v>
      </c>
      <c r="AD68" s="4"/>
      <c r="AE68" s="5">
        <f>20.83</f>
        <v>20.83</v>
      </c>
      <c r="AF68" s="5">
        <f t="shared" si="70"/>
        <v>-20.83</v>
      </c>
      <c r="AG68" s="6">
        <f t="shared" si="71"/>
        <v>0</v>
      </c>
      <c r="AH68" s="4"/>
      <c r="AI68" s="5">
        <f>20.83</f>
        <v>20.83</v>
      </c>
      <c r="AJ68" s="5">
        <f t="shared" si="72"/>
        <v>-20.83</v>
      </c>
      <c r="AK68" s="6">
        <f t="shared" si="73"/>
        <v>0</v>
      </c>
      <c r="AL68" s="4"/>
      <c r="AM68" s="5">
        <f>20.83</f>
        <v>20.83</v>
      </c>
      <c r="AN68" s="5">
        <f t="shared" si="74"/>
        <v>-20.83</v>
      </c>
      <c r="AO68" s="6">
        <f t="shared" si="75"/>
        <v>0</v>
      </c>
      <c r="AP68" s="4"/>
      <c r="AQ68" s="5">
        <f>20.83</f>
        <v>20.83</v>
      </c>
      <c r="AR68" s="5">
        <f t="shared" si="76"/>
        <v>-20.83</v>
      </c>
      <c r="AS68" s="6">
        <f t="shared" si="77"/>
        <v>0</v>
      </c>
      <c r="AT68" s="4"/>
      <c r="AU68" s="5">
        <f>20.87</f>
        <v>20.87</v>
      </c>
      <c r="AV68" s="5">
        <f t="shared" si="78"/>
        <v>-20.87</v>
      </c>
      <c r="AW68" s="6">
        <f t="shared" si="79"/>
        <v>0</v>
      </c>
      <c r="AX68" s="20">
        <f t="shared" si="80"/>
        <v>0</v>
      </c>
      <c r="AY68" s="5">
        <f t="shared" si="81"/>
        <v>249.99999999999994</v>
      </c>
      <c r="AZ68" s="5">
        <f t="shared" si="82"/>
        <v>-249.99999999999994</v>
      </c>
      <c r="BA68" s="14">
        <f t="shared" si="83"/>
        <v>0</v>
      </c>
    </row>
    <row r="69" spans="1:53" x14ac:dyDescent="0.25">
      <c r="A69" s="3" t="s">
        <v>78</v>
      </c>
      <c r="B69" s="4"/>
      <c r="C69" s="5">
        <f>12.5</f>
        <v>12.5</v>
      </c>
      <c r="D69" s="5">
        <f t="shared" si="56"/>
        <v>-12.5</v>
      </c>
      <c r="E69" s="6">
        <f t="shared" si="57"/>
        <v>0</v>
      </c>
      <c r="F69" s="4"/>
      <c r="G69" s="5">
        <f>12.5</f>
        <v>12.5</v>
      </c>
      <c r="H69" s="5">
        <f t="shared" si="58"/>
        <v>-12.5</v>
      </c>
      <c r="I69" s="6">
        <f t="shared" si="59"/>
        <v>0</v>
      </c>
      <c r="J69" s="4"/>
      <c r="K69" s="5">
        <f>12.5</f>
        <v>12.5</v>
      </c>
      <c r="L69" s="5">
        <f t="shared" si="60"/>
        <v>-12.5</v>
      </c>
      <c r="M69" s="6">
        <f t="shared" si="61"/>
        <v>0</v>
      </c>
      <c r="N69" s="4"/>
      <c r="O69" s="5">
        <f>12.5</f>
        <v>12.5</v>
      </c>
      <c r="P69" s="5">
        <f t="shared" si="62"/>
        <v>-12.5</v>
      </c>
      <c r="Q69" s="6">
        <f t="shared" si="63"/>
        <v>0</v>
      </c>
      <c r="R69" s="4"/>
      <c r="S69" s="5">
        <f>12.5</f>
        <v>12.5</v>
      </c>
      <c r="T69" s="5">
        <f t="shared" si="64"/>
        <v>-12.5</v>
      </c>
      <c r="U69" s="6">
        <f t="shared" si="65"/>
        <v>0</v>
      </c>
      <c r="V69" s="4"/>
      <c r="W69" s="5">
        <f>12.5</f>
        <v>12.5</v>
      </c>
      <c r="X69" s="5">
        <f t="shared" si="66"/>
        <v>-12.5</v>
      </c>
      <c r="Y69" s="6">
        <f t="shared" si="67"/>
        <v>0</v>
      </c>
      <c r="Z69" s="4"/>
      <c r="AA69" s="5">
        <f>12.5</f>
        <v>12.5</v>
      </c>
      <c r="AB69" s="5">
        <f t="shared" si="68"/>
        <v>-12.5</v>
      </c>
      <c r="AC69" s="6">
        <f t="shared" si="69"/>
        <v>0</v>
      </c>
      <c r="AD69" s="4"/>
      <c r="AE69" s="5">
        <f>12.5</f>
        <v>12.5</v>
      </c>
      <c r="AF69" s="5">
        <f t="shared" si="70"/>
        <v>-12.5</v>
      </c>
      <c r="AG69" s="6">
        <f t="shared" si="71"/>
        <v>0</v>
      </c>
      <c r="AH69" s="4"/>
      <c r="AI69" s="5">
        <f>12.5</f>
        <v>12.5</v>
      </c>
      <c r="AJ69" s="5">
        <f t="shared" si="72"/>
        <v>-12.5</v>
      </c>
      <c r="AK69" s="6">
        <f t="shared" si="73"/>
        <v>0</v>
      </c>
      <c r="AL69" s="4"/>
      <c r="AM69" s="5">
        <f>12.5</f>
        <v>12.5</v>
      </c>
      <c r="AN69" s="5">
        <f t="shared" si="74"/>
        <v>-12.5</v>
      </c>
      <c r="AO69" s="6">
        <f t="shared" si="75"/>
        <v>0</v>
      </c>
      <c r="AP69" s="4"/>
      <c r="AQ69" s="5">
        <f>12.5</f>
        <v>12.5</v>
      </c>
      <c r="AR69" s="5">
        <f t="shared" si="76"/>
        <v>-12.5</v>
      </c>
      <c r="AS69" s="6">
        <f t="shared" si="77"/>
        <v>0</v>
      </c>
      <c r="AT69" s="4"/>
      <c r="AU69" s="5">
        <f>12.5</f>
        <v>12.5</v>
      </c>
      <c r="AV69" s="5">
        <f t="shared" si="78"/>
        <v>-12.5</v>
      </c>
      <c r="AW69" s="6">
        <f t="shared" si="79"/>
        <v>0</v>
      </c>
      <c r="AX69" s="20">
        <f t="shared" si="80"/>
        <v>0</v>
      </c>
      <c r="AY69" s="5">
        <f t="shared" si="81"/>
        <v>150</v>
      </c>
      <c r="AZ69" s="5">
        <f t="shared" si="82"/>
        <v>-150</v>
      </c>
      <c r="BA69" s="14">
        <f t="shared" si="83"/>
        <v>0</v>
      </c>
    </row>
    <row r="70" spans="1:53" x14ac:dyDescent="0.25">
      <c r="A70" s="3" t="s">
        <v>79</v>
      </c>
      <c r="B70" s="4"/>
      <c r="C70" s="5">
        <f>100</f>
        <v>100</v>
      </c>
      <c r="D70" s="5">
        <f t="shared" si="56"/>
        <v>-100</v>
      </c>
      <c r="E70" s="6">
        <f t="shared" si="57"/>
        <v>0</v>
      </c>
      <c r="F70" s="4"/>
      <c r="G70" s="5">
        <f>100</f>
        <v>100</v>
      </c>
      <c r="H70" s="5">
        <f t="shared" si="58"/>
        <v>-100</v>
      </c>
      <c r="I70" s="6">
        <f t="shared" si="59"/>
        <v>0</v>
      </c>
      <c r="J70" s="5">
        <f>114.99</f>
        <v>114.99</v>
      </c>
      <c r="K70" s="5">
        <f>100</f>
        <v>100</v>
      </c>
      <c r="L70" s="5">
        <f t="shared" si="60"/>
        <v>14.989999999999995</v>
      </c>
      <c r="M70" s="6">
        <f t="shared" si="61"/>
        <v>1.1498999999999999</v>
      </c>
      <c r="N70" s="4"/>
      <c r="O70" s="5">
        <f>100</f>
        <v>100</v>
      </c>
      <c r="P70" s="5">
        <f t="shared" si="62"/>
        <v>-100</v>
      </c>
      <c r="Q70" s="6">
        <f t="shared" si="63"/>
        <v>0</v>
      </c>
      <c r="R70" s="4"/>
      <c r="S70" s="5">
        <f>100</f>
        <v>100</v>
      </c>
      <c r="T70" s="5">
        <f t="shared" si="64"/>
        <v>-100</v>
      </c>
      <c r="U70" s="6">
        <f t="shared" si="65"/>
        <v>0</v>
      </c>
      <c r="V70" s="4"/>
      <c r="W70" s="5">
        <f>100</f>
        <v>100</v>
      </c>
      <c r="X70" s="5">
        <f t="shared" si="66"/>
        <v>-100</v>
      </c>
      <c r="Y70" s="6">
        <f t="shared" si="67"/>
        <v>0</v>
      </c>
      <c r="Z70" s="5">
        <f>599.99</f>
        <v>599.99</v>
      </c>
      <c r="AA70" s="5">
        <f>100</f>
        <v>100</v>
      </c>
      <c r="AB70" s="5">
        <f t="shared" si="68"/>
        <v>499.99</v>
      </c>
      <c r="AC70" s="6">
        <f t="shared" si="69"/>
        <v>5.9999000000000002</v>
      </c>
      <c r="AD70" s="5">
        <f>36.46</f>
        <v>36.46</v>
      </c>
      <c r="AE70" s="5">
        <f>100</f>
        <v>100</v>
      </c>
      <c r="AF70" s="5">
        <f t="shared" si="70"/>
        <v>-63.54</v>
      </c>
      <c r="AG70" s="6">
        <f t="shared" si="71"/>
        <v>0.36460000000000004</v>
      </c>
      <c r="AH70" s="5">
        <f>30.79</f>
        <v>30.79</v>
      </c>
      <c r="AI70" s="5">
        <f>100</f>
        <v>100</v>
      </c>
      <c r="AJ70" s="5">
        <f t="shared" si="72"/>
        <v>-69.210000000000008</v>
      </c>
      <c r="AK70" s="6">
        <f t="shared" si="73"/>
        <v>0.30790000000000001</v>
      </c>
      <c r="AL70" s="4"/>
      <c r="AM70" s="5">
        <f>100</f>
        <v>100</v>
      </c>
      <c r="AN70" s="5">
        <f t="shared" si="74"/>
        <v>-100</v>
      </c>
      <c r="AO70" s="6">
        <f t="shared" si="75"/>
        <v>0</v>
      </c>
      <c r="AP70" s="4"/>
      <c r="AQ70" s="5">
        <f>100</f>
        <v>100</v>
      </c>
      <c r="AR70" s="5">
        <f t="shared" si="76"/>
        <v>-100</v>
      </c>
      <c r="AS70" s="6">
        <f t="shared" si="77"/>
        <v>0</v>
      </c>
      <c r="AT70" s="4"/>
      <c r="AU70" s="5">
        <f>100</f>
        <v>100</v>
      </c>
      <c r="AV70" s="5">
        <f t="shared" si="78"/>
        <v>-100</v>
      </c>
      <c r="AW70" s="6">
        <f t="shared" si="79"/>
        <v>0</v>
      </c>
      <c r="AX70" s="20">
        <f t="shared" si="80"/>
        <v>782.23</v>
      </c>
      <c r="AY70" s="5">
        <f t="shared" si="81"/>
        <v>1200</v>
      </c>
      <c r="AZ70" s="5">
        <f t="shared" si="82"/>
        <v>-417.77</v>
      </c>
      <c r="BA70" s="14">
        <f t="shared" si="83"/>
        <v>0.65185833333333332</v>
      </c>
    </row>
    <row r="71" spans="1:53" x14ac:dyDescent="0.25">
      <c r="A71" s="3" t="s">
        <v>80</v>
      </c>
      <c r="B71" s="4"/>
      <c r="C71" s="5">
        <f>16.67</f>
        <v>16.670000000000002</v>
      </c>
      <c r="D71" s="5">
        <f t="shared" si="56"/>
        <v>-16.670000000000002</v>
      </c>
      <c r="E71" s="6">
        <f t="shared" si="57"/>
        <v>0</v>
      </c>
      <c r="F71" s="4"/>
      <c r="G71" s="5">
        <f>16.67</f>
        <v>16.670000000000002</v>
      </c>
      <c r="H71" s="5">
        <f t="shared" si="58"/>
        <v>-16.670000000000002</v>
      </c>
      <c r="I71" s="6">
        <f t="shared" si="59"/>
        <v>0</v>
      </c>
      <c r="J71" s="4"/>
      <c r="K71" s="5">
        <f>16.67</f>
        <v>16.670000000000002</v>
      </c>
      <c r="L71" s="5">
        <f t="shared" si="60"/>
        <v>-16.670000000000002</v>
      </c>
      <c r="M71" s="6">
        <f t="shared" si="61"/>
        <v>0</v>
      </c>
      <c r="N71" s="5">
        <f>180.35</f>
        <v>180.35</v>
      </c>
      <c r="O71" s="5">
        <f>16.67</f>
        <v>16.670000000000002</v>
      </c>
      <c r="P71" s="5">
        <f t="shared" si="62"/>
        <v>163.68</v>
      </c>
      <c r="Q71" s="6">
        <f t="shared" si="63"/>
        <v>10.818836232753448</v>
      </c>
      <c r="R71" s="4"/>
      <c r="S71" s="5">
        <f>16.67</f>
        <v>16.670000000000002</v>
      </c>
      <c r="T71" s="5">
        <f t="shared" si="64"/>
        <v>-16.670000000000002</v>
      </c>
      <c r="U71" s="6">
        <f t="shared" si="65"/>
        <v>0</v>
      </c>
      <c r="V71" s="4"/>
      <c r="W71" s="5">
        <f>16.67</f>
        <v>16.670000000000002</v>
      </c>
      <c r="X71" s="5">
        <f t="shared" si="66"/>
        <v>-16.670000000000002</v>
      </c>
      <c r="Y71" s="6">
        <f t="shared" si="67"/>
        <v>0</v>
      </c>
      <c r="Z71" s="4"/>
      <c r="AA71" s="5">
        <f>16.67</f>
        <v>16.670000000000002</v>
      </c>
      <c r="AB71" s="5">
        <f t="shared" si="68"/>
        <v>-16.670000000000002</v>
      </c>
      <c r="AC71" s="6">
        <f t="shared" si="69"/>
        <v>0</v>
      </c>
      <c r="AD71" s="4"/>
      <c r="AE71" s="5">
        <f>16.67</f>
        <v>16.670000000000002</v>
      </c>
      <c r="AF71" s="5">
        <f t="shared" si="70"/>
        <v>-16.670000000000002</v>
      </c>
      <c r="AG71" s="6">
        <f t="shared" si="71"/>
        <v>0</v>
      </c>
      <c r="AH71" s="4"/>
      <c r="AI71" s="5">
        <f>16.67</f>
        <v>16.670000000000002</v>
      </c>
      <c r="AJ71" s="5">
        <f t="shared" si="72"/>
        <v>-16.670000000000002</v>
      </c>
      <c r="AK71" s="6">
        <f t="shared" si="73"/>
        <v>0</v>
      </c>
      <c r="AL71" s="4"/>
      <c r="AM71" s="5">
        <f>16.67</f>
        <v>16.670000000000002</v>
      </c>
      <c r="AN71" s="5">
        <f t="shared" si="74"/>
        <v>-16.670000000000002</v>
      </c>
      <c r="AO71" s="6">
        <f t="shared" si="75"/>
        <v>0</v>
      </c>
      <c r="AP71" s="4"/>
      <c r="AQ71" s="5">
        <f>16.67</f>
        <v>16.670000000000002</v>
      </c>
      <c r="AR71" s="5">
        <f t="shared" si="76"/>
        <v>-16.670000000000002</v>
      </c>
      <c r="AS71" s="6">
        <f t="shared" si="77"/>
        <v>0</v>
      </c>
      <c r="AT71" s="4"/>
      <c r="AU71" s="5">
        <f>16.63</f>
        <v>16.63</v>
      </c>
      <c r="AV71" s="5">
        <f t="shared" si="78"/>
        <v>-16.63</v>
      </c>
      <c r="AW71" s="6">
        <f t="shared" si="79"/>
        <v>0</v>
      </c>
      <c r="AX71" s="20">
        <f t="shared" si="80"/>
        <v>180.35</v>
      </c>
      <c r="AY71" s="5">
        <f t="shared" si="81"/>
        <v>200.00000000000006</v>
      </c>
      <c r="AZ71" s="5">
        <f t="shared" si="82"/>
        <v>-19.650000000000063</v>
      </c>
      <c r="BA71" s="14">
        <f t="shared" si="83"/>
        <v>0.90174999999999972</v>
      </c>
    </row>
    <row r="72" spans="1:53" x14ac:dyDescent="0.25">
      <c r="A72" s="3" t="s">
        <v>81</v>
      </c>
      <c r="B72" s="4"/>
      <c r="C72" s="5">
        <f>25</f>
        <v>25</v>
      </c>
      <c r="D72" s="5">
        <f t="shared" si="56"/>
        <v>-25</v>
      </c>
      <c r="E72" s="6">
        <f t="shared" si="57"/>
        <v>0</v>
      </c>
      <c r="F72" s="4"/>
      <c r="G72" s="5">
        <f>25</f>
        <v>25</v>
      </c>
      <c r="H72" s="5">
        <f t="shared" si="58"/>
        <v>-25</v>
      </c>
      <c r="I72" s="6">
        <f t="shared" si="59"/>
        <v>0</v>
      </c>
      <c r="J72" s="4"/>
      <c r="K72" s="5">
        <f>25</f>
        <v>25</v>
      </c>
      <c r="L72" s="5">
        <f t="shared" si="60"/>
        <v>-25</v>
      </c>
      <c r="M72" s="6">
        <f t="shared" si="61"/>
        <v>0</v>
      </c>
      <c r="N72" s="5">
        <f>150</f>
        <v>150</v>
      </c>
      <c r="O72" s="5">
        <f>25</f>
        <v>25</v>
      </c>
      <c r="P72" s="5">
        <f t="shared" si="62"/>
        <v>125</v>
      </c>
      <c r="Q72" s="6">
        <f t="shared" si="63"/>
        <v>6</v>
      </c>
      <c r="R72" s="4"/>
      <c r="S72" s="5">
        <f>25</f>
        <v>25</v>
      </c>
      <c r="T72" s="5">
        <f t="shared" si="64"/>
        <v>-25</v>
      </c>
      <c r="U72" s="6">
        <f t="shared" si="65"/>
        <v>0</v>
      </c>
      <c r="V72" s="4"/>
      <c r="W72" s="5">
        <f>25</f>
        <v>25</v>
      </c>
      <c r="X72" s="5">
        <f t="shared" si="66"/>
        <v>-25</v>
      </c>
      <c r="Y72" s="6">
        <f t="shared" si="67"/>
        <v>0</v>
      </c>
      <c r="Z72" s="4"/>
      <c r="AA72" s="5">
        <f>25</f>
        <v>25</v>
      </c>
      <c r="AB72" s="5">
        <f t="shared" si="68"/>
        <v>-25</v>
      </c>
      <c r="AC72" s="6">
        <f t="shared" si="69"/>
        <v>0</v>
      </c>
      <c r="AD72" s="4"/>
      <c r="AE72" s="5">
        <f>25</f>
        <v>25</v>
      </c>
      <c r="AF72" s="5">
        <f t="shared" si="70"/>
        <v>-25</v>
      </c>
      <c r="AG72" s="6">
        <f t="shared" si="71"/>
        <v>0</v>
      </c>
      <c r="AH72" s="4"/>
      <c r="AI72" s="5">
        <f>25</f>
        <v>25</v>
      </c>
      <c r="AJ72" s="5">
        <f t="shared" si="72"/>
        <v>-25</v>
      </c>
      <c r="AK72" s="6">
        <f t="shared" si="73"/>
        <v>0</v>
      </c>
      <c r="AL72" s="5">
        <f>150</f>
        <v>150</v>
      </c>
      <c r="AM72" s="5">
        <f>25</f>
        <v>25</v>
      </c>
      <c r="AN72" s="5">
        <f t="shared" si="74"/>
        <v>125</v>
      </c>
      <c r="AO72" s="6">
        <f t="shared" si="75"/>
        <v>6</v>
      </c>
      <c r="AP72" s="4"/>
      <c r="AQ72" s="5">
        <f>25</f>
        <v>25</v>
      </c>
      <c r="AR72" s="5">
        <f t="shared" si="76"/>
        <v>-25</v>
      </c>
      <c r="AS72" s="6">
        <f t="shared" si="77"/>
        <v>0</v>
      </c>
      <c r="AT72" s="4"/>
      <c r="AU72" s="5">
        <f>25</f>
        <v>25</v>
      </c>
      <c r="AV72" s="5">
        <f t="shared" si="78"/>
        <v>-25</v>
      </c>
      <c r="AW72" s="6">
        <f t="shared" si="79"/>
        <v>0</v>
      </c>
      <c r="AX72" s="20">
        <f t="shared" si="80"/>
        <v>300</v>
      </c>
      <c r="AY72" s="5">
        <f t="shared" si="81"/>
        <v>300</v>
      </c>
      <c r="AZ72" s="5">
        <f t="shared" si="82"/>
        <v>0</v>
      </c>
      <c r="BA72" s="14">
        <f t="shared" si="83"/>
        <v>1</v>
      </c>
    </row>
    <row r="73" spans="1:53" x14ac:dyDescent="0.25">
      <c r="A73" s="3" t="s">
        <v>82</v>
      </c>
      <c r="B73" s="4"/>
      <c r="C73" s="5">
        <f>75</f>
        <v>75</v>
      </c>
      <c r="D73" s="5">
        <f t="shared" si="56"/>
        <v>-75</v>
      </c>
      <c r="E73" s="6">
        <f t="shared" si="57"/>
        <v>0</v>
      </c>
      <c r="F73" s="4"/>
      <c r="G73" s="5">
        <f>75</f>
        <v>75</v>
      </c>
      <c r="H73" s="5">
        <f t="shared" si="58"/>
        <v>-75</v>
      </c>
      <c r="I73" s="6">
        <f t="shared" si="59"/>
        <v>0</v>
      </c>
      <c r="J73" s="5">
        <f>150</f>
        <v>150</v>
      </c>
      <c r="K73" s="5">
        <f>75</f>
        <v>75</v>
      </c>
      <c r="L73" s="5">
        <f t="shared" si="60"/>
        <v>75</v>
      </c>
      <c r="M73" s="6">
        <f t="shared" si="61"/>
        <v>2</v>
      </c>
      <c r="N73" s="5">
        <f>100</f>
        <v>100</v>
      </c>
      <c r="O73" s="5">
        <f>75</f>
        <v>75</v>
      </c>
      <c r="P73" s="5">
        <f t="shared" si="62"/>
        <v>25</v>
      </c>
      <c r="Q73" s="6">
        <f t="shared" si="63"/>
        <v>1.3333333333333333</v>
      </c>
      <c r="R73" s="4"/>
      <c r="S73" s="5">
        <f>75</f>
        <v>75</v>
      </c>
      <c r="T73" s="5">
        <f t="shared" si="64"/>
        <v>-75</v>
      </c>
      <c r="U73" s="6">
        <f t="shared" si="65"/>
        <v>0</v>
      </c>
      <c r="V73" s="5">
        <f>100</f>
        <v>100</v>
      </c>
      <c r="W73" s="5">
        <f>75</f>
        <v>75</v>
      </c>
      <c r="X73" s="5">
        <f t="shared" si="66"/>
        <v>25</v>
      </c>
      <c r="Y73" s="6">
        <f t="shared" si="67"/>
        <v>1.3333333333333333</v>
      </c>
      <c r="Z73" s="4"/>
      <c r="AA73" s="5">
        <f>75</f>
        <v>75</v>
      </c>
      <c r="AB73" s="5">
        <f t="shared" si="68"/>
        <v>-75</v>
      </c>
      <c r="AC73" s="6">
        <f t="shared" si="69"/>
        <v>0</v>
      </c>
      <c r="AD73" s="4"/>
      <c r="AE73" s="5">
        <f>75</f>
        <v>75</v>
      </c>
      <c r="AF73" s="5">
        <f t="shared" si="70"/>
        <v>-75</v>
      </c>
      <c r="AG73" s="6">
        <f t="shared" si="71"/>
        <v>0</v>
      </c>
      <c r="AH73" s="5">
        <f>150</f>
        <v>150</v>
      </c>
      <c r="AI73" s="5">
        <f>75</f>
        <v>75</v>
      </c>
      <c r="AJ73" s="5">
        <f t="shared" si="72"/>
        <v>75</v>
      </c>
      <c r="AK73" s="6">
        <f t="shared" si="73"/>
        <v>2</v>
      </c>
      <c r="AL73" s="4"/>
      <c r="AM73" s="5">
        <f>75</f>
        <v>75</v>
      </c>
      <c r="AN73" s="5">
        <f t="shared" si="74"/>
        <v>-75</v>
      </c>
      <c r="AO73" s="6">
        <f t="shared" si="75"/>
        <v>0</v>
      </c>
      <c r="AP73" s="5"/>
      <c r="AQ73" s="5">
        <f>75</f>
        <v>75</v>
      </c>
      <c r="AR73" s="5">
        <f t="shared" si="76"/>
        <v>-75</v>
      </c>
      <c r="AS73" s="6">
        <f t="shared" si="77"/>
        <v>0</v>
      </c>
      <c r="AT73" s="4"/>
      <c r="AU73" s="5">
        <f>75</f>
        <v>75</v>
      </c>
      <c r="AV73" s="5">
        <f t="shared" si="78"/>
        <v>-75</v>
      </c>
      <c r="AW73" s="6">
        <f t="shared" si="79"/>
        <v>0</v>
      </c>
      <c r="AX73" s="20">
        <f t="shared" si="80"/>
        <v>500</v>
      </c>
      <c r="AY73" s="5">
        <f t="shared" si="81"/>
        <v>900</v>
      </c>
      <c r="AZ73" s="5">
        <f t="shared" si="82"/>
        <v>-400</v>
      </c>
      <c r="BA73" s="14">
        <f t="shared" si="83"/>
        <v>0.55555555555555558</v>
      </c>
    </row>
    <row r="74" spans="1:53" x14ac:dyDescent="0.25">
      <c r="A74" s="3" t="s">
        <v>83</v>
      </c>
      <c r="B74" s="7">
        <f>((B71)+(B72))+(B73)</f>
        <v>0</v>
      </c>
      <c r="C74" s="7">
        <f>((C71)+(C72))+(C73)</f>
        <v>116.67</v>
      </c>
      <c r="D74" s="7">
        <f t="shared" si="56"/>
        <v>-116.67</v>
      </c>
      <c r="E74" s="8">
        <f t="shared" si="57"/>
        <v>0</v>
      </c>
      <c r="F74" s="7">
        <f>((F71)+(F72))+(F73)</f>
        <v>0</v>
      </c>
      <c r="G74" s="7">
        <f>((G71)+(G72))+(G73)</f>
        <v>116.67</v>
      </c>
      <c r="H74" s="7">
        <f t="shared" si="58"/>
        <v>-116.67</v>
      </c>
      <c r="I74" s="8">
        <f t="shared" si="59"/>
        <v>0</v>
      </c>
      <c r="J74" s="7">
        <f>((J71)+(J72))+(J73)</f>
        <v>150</v>
      </c>
      <c r="K74" s="7">
        <f>((K71)+(K72))+(K73)</f>
        <v>116.67</v>
      </c>
      <c r="L74" s="7">
        <f t="shared" si="60"/>
        <v>33.33</v>
      </c>
      <c r="M74" s="8">
        <f t="shared" si="61"/>
        <v>1.2856775520699408</v>
      </c>
      <c r="N74" s="7">
        <f>((N71)+(N72))+(N73)</f>
        <v>430.35</v>
      </c>
      <c r="O74" s="7">
        <f>((O71)+(O72))+(O73)</f>
        <v>116.67</v>
      </c>
      <c r="P74" s="7">
        <f t="shared" si="62"/>
        <v>313.68</v>
      </c>
      <c r="Q74" s="8">
        <f t="shared" si="63"/>
        <v>3.6886088968886606</v>
      </c>
      <c r="R74" s="7">
        <f>((R71)+(R72))+(R73)</f>
        <v>0</v>
      </c>
      <c r="S74" s="7">
        <f>((S71)+(S72))+(S73)</f>
        <v>116.67</v>
      </c>
      <c r="T74" s="7">
        <f t="shared" si="64"/>
        <v>-116.67</v>
      </c>
      <c r="U74" s="8">
        <f t="shared" si="65"/>
        <v>0</v>
      </c>
      <c r="V74" s="7">
        <f>((V71)+(V72))+(V73)</f>
        <v>100</v>
      </c>
      <c r="W74" s="7">
        <f>((W71)+(W72))+(W73)</f>
        <v>116.67</v>
      </c>
      <c r="X74" s="7">
        <f t="shared" si="66"/>
        <v>-16.670000000000002</v>
      </c>
      <c r="Y74" s="8">
        <f t="shared" si="67"/>
        <v>0.85711836804662722</v>
      </c>
      <c r="Z74" s="7">
        <f>((Z71)+(Z72))+(Z73)</f>
        <v>0</v>
      </c>
      <c r="AA74" s="7">
        <f>((AA71)+(AA72))+(AA73)</f>
        <v>116.67</v>
      </c>
      <c r="AB74" s="7">
        <f t="shared" si="68"/>
        <v>-116.67</v>
      </c>
      <c r="AC74" s="8">
        <f t="shared" si="69"/>
        <v>0</v>
      </c>
      <c r="AD74" s="7">
        <f>((AD71)+(AD72))+(AD73)</f>
        <v>0</v>
      </c>
      <c r="AE74" s="7">
        <f>((AE71)+(AE72))+(AE73)</f>
        <v>116.67</v>
      </c>
      <c r="AF74" s="7">
        <f t="shared" si="70"/>
        <v>-116.67</v>
      </c>
      <c r="AG74" s="8">
        <f t="shared" si="71"/>
        <v>0</v>
      </c>
      <c r="AH74" s="7">
        <f>((AH71)+(AH72))+(AH73)</f>
        <v>150</v>
      </c>
      <c r="AI74" s="7">
        <f>((AI71)+(AI72))+(AI73)</f>
        <v>116.67</v>
      </c>
      <c r="AJ74" s="7">
        <f t="shared" si="72"/>
        <v>33.33</v>
      </c>
      <c r="AK74" s="8">
        <f t="shared" si="73"/>
        <v>1.2856775520699408</v>
      </c>
      <c r="AL74" s="7">
        <f>((AL71)+(AL72))+(AL73)</f>
        <v>150</v>
      </c>
      <c r="AM74" s="7">
        <f>((AM71)+(AM72))+(AM73)</f>
        <v>116.67</v>
      </c>
      <c r="AN74" s="7">
        <f t="shared" si="74"/>
        <v>33.33</v>
      </c>
      <c r="AO74" s="8">
        <f t="shared" si="75"/>
        <v>1.2856775520699408</v>
      </c>
      <c r="AP74" s="7">
        <f>((AP71)+(AP72))+(AP73)</f>
        <v>0</v>
      </c>
      <c r="AQ74" s="7">
        <f>((AQ71)+(AQ72))+(AQ73)</f>
        <v>116.67</v>
      </c>
      <c r="AR74" s="7">
        <f t="shared" si="76"/>
        <v>-116.67</v>
      </c>
      <c r="AS74" s="8">
        <f t="shared" si="77"/>
        <v>0</v>
      </c>
      <c r="AT74" s="7">
        <f>((AT71)+(AT72))+(AT73)</f>
        <v>0</v>
      </c>
      <c r="AU74" s="7">
        <f>((AU71)+(AU72))+(AU73)</f>
        <v>116.63</v>
      </c>
      <c r="AV74" s="7">
        <f t="shared" si="78"/>
        <v>-116.63</v>
      </c>
      <c r="AW74" s="8">
        <f t="shared" si="79"/>
        <v>0</v>
      </c>
      <c r="AX74" s="21">
        <f t="shared" si="80"/>
        <v>980.35</v>
      </c>
      <c r="AY74" s="9">
        <f t="shared" si="81"/>
        <v>1400</v>
      </c>
      <c r="AZ74" s="9">
        <f t="shared" si="82"/>
        <v>-419.65</v>
      </c>
      <c r="BA74" s="15">
        <f t="shared" si="83"/>
        <v>0.70025000000000004</v>
      </c>
    </row>
    <row r="75" spans="1:53" x14ac:dyDescent="0.25">
      <c r="A75" s="3" t="s">
        <v>84</v>
      </c>
      <c r="B75" s="4"/>
      <c r="C75" s="5">
        <f>6.25</f>
        <v>6.25</v>
      </c>
      <c r="D75" s="5">
        <f t="shared" si="56"/>
        <v>-6.25</v>
      </c>
      <c r="E75" s="6">
        <f t="shared" si="57"/>
        <v>0</v>
      </c>
      <c r="F75" s="4"/>
      <c r="G75" s="5">
        <f>6.25</f>
        <v>6.25</v>
      </c>
      <c r="H75" s="5">
        <f t="shared" si="58"/>
        <v>-6.25</v>
      </c>
      <c r="I75" s="6">
        <f t="shared" si="59"/>
        <v>0</v>
      </c>
      <c r="J75" s="4"/>
      <c r="K75" s="5">
        <f>6.25</f>
        <v>6.25</v>
      </c>
      <c r="L75" s="5">
        <f t="shared" si="60"/>
        <v>-6.25</v>
      </c>
      <c r="M75" s="6">
        <f t="shared" si="61"/>
        <v>0</v>
      </c>
      <c r="N75" s="4"/>
      <c r="O75" s="5">
        <f>6.25</f>
        <v>6.25</v>
      </c>
      <c r="P75" s="5">
        <f t="shared" si="62"/>
        <v>-6.25</v>
      </c>
      <c r="Q75" s="6">
        <f t="shared" si="63"/>
        <v>0</v>
      </c>
      <c r="R75" s="4"/>
      <c r="S75" s="5">
        <f>6.25</f>
        <v>6.25</v>
      </c>
      <c r="T75" s="5">
        <f t="shared" si="64"/>
        <v>-6.25</v>
      </c>
      <c r="U75" s="6">
        <f t="shared" si="65"/>
        <v>0</v>
      </c>
      <c r="V75" s="4"/>
      <c r="W75" s="5">
        <f>6.25</f>
        <v>6.25</v>
      </c>
      <c r="X75" s="5">
        <f t="shared" si="66"/>
        <v>-6.25</v>
      </c>
      <c r="Y75" s="6">
        <f t="shared" si="67"/>
        <v>0</v>
      </c>
      <c r="Z75" s="4"/>
      <c r="AA75" s="5">
        <f>6.25</f>
        <v>6.25</v>
      </c>
      <c r="AB75" s="5">
        <f t="shared" si="68"/>
        <v>-6.25</v>
      </c>
      <c r="AC75" s="6">
        <f t="shared" si="69"/>
        <v>0</v>
      </c>
      <c r="AD75" s="4"/>
      <c r="AE75" s="5">
        <f>6.25</f>
        <v>6.25</v>
      </c>
      <c r="AF75" s="5">
        <f t="shared" si="70"/>
        <v>-6.25</v>
      </c>
      <c r="AG75" s="6">
        <f t="shared" si="71"/>
        <v>0</v>
      </c>
      <c r="AH75" s="4"/>
      <c r="AI75" s="5">
        <f>6.25</f>
        <v>6.25</v>
      </c>
      <c r="AJ75" s="5">
        <f t="shared" si="72"/>
        <v>-6.25</v>
      </c>
      <c r="AK75" s="6">
        <f t="shared" si="73"/>
        <v>0</v>
      </c>
      <c r="AL75" s="4"/>
      <c r="AM75" s="5">
        <f>6.25</f>
        <v>6.25</v>
      </c>
      <c r="AN75" s="5">
        <f t="shared" si="74"/>
        <v>-6.25</v>
      </c>
      <c r="AO75" s="6">
        <f t="shared" si="75"/>
        <v>0</v>
      </c>
      <c r="AP75" s="4"/>
      <c r="AQ75" s="5">
        <f>6.25</f>
        <v>6.25</v>
      </c>
      <c r="AR75" s="5">
        <f t="shared" si="76"/>
        <v>-6.25</v>
      </c>
      <c r="AS75" s="6">
        <f t="shared" si="77"/>
        <v>0</v>
      </c>
      <c r="AT75" s="4"/>
      <c r="AU75" s="5">
        <f>6.25</f>
        <v>6.25</v>
      </c>
      <c r="AV75" s="5">
        <f t="shared" si="78"/>
        <v>-6.25</v>
      </c>
      <c r="AW75" s="6">
        <f t="shared" si="79"/>
        <v>0</v>
      </c>
      <c r="AX75" s="20">
        <f t="shared" si="80"/>
        <v>0</v>
      </c>
      <c r="AY75" s="5">
        <f t="shared" si="81"/>
        <v>75</v>
      </c>
      <c r="AZ75" s="5">
        <f t="shared" si="82"/>
        <v>-75</v>
      </c>
      <c r="BA75" s="14">
        <f t="shared" si="83"/>
        <v>0</v>
      </c>
    </row>
    <row r="76" spans="1:53" x14ac:dyDescent="0.25">
      <c r="A76" s="3" t="s">
        <v>85</v>
      </c>
      <c r="B76" s="5">
        <f>384.62</f>
        <v>384.62</v>
      </c>
      <c r="C76" s="5">
        <f>291.67</f>
        <v>291.67</v>
      </c>
      <c r="D76" s="5">
        <f t="shared" si="56"/>
        <v>92.949999999999989</v>
      </c>
      <c r="E76" s="6">
        <f t="shared" si="57"/>
        <v>1.3186820722048891</v>
      </c>
      <c r="F76" s="5">
        <f>14.79</f>
        <v>14.79</v>
      </c>
      <c r="G76" s="5">
        <f>291.67</f>
        <v>291.67</v>
      </c>
      <c r="H76" s="5">
        <f t="shared" si="58"/>
        <v>-276.88</v>
      </c>
      <c r="I76" s="6">
        <f t="shared" si="59"/>
        <v>5.0707991908663895E-2</v>
      </c>
      <c r="J76" s="4"/>
      <c r="K76" s="5">
        <f>291.67</f>
        <v>291.67</v>
      </c>
      <c r="L76" s="5">
        <f t="shared" si="60"/>
        <v>-291.67</v>
      </c>
      <c r="M76" s="6">
        <f t="shared" si="61"/>
        <v>0</v>
      </c>
      <c r="N76" s="5">
        <f>470.14</f>
        <v>470.14</v>
      </c>
      <c r="O76" s="5">
        <f>291.67</f>
        <v>291.67</v>
      </c>
      <c r="P76" s="5">
        <f t="shared" si="62"/>
        <v>178.46999999999997</v>
      </c>
      <c r="Q76" s="6">
        <f t="shared" si="63"/>
        <v>1.611890149826859</v>
      </c>
      <c r="R76" s="5">
        <f>370.94</f>
        <v>370.94</v>
      </c>
      <c r="S76" s="5">
        <f>291.67</f>
        <v>291.67</v>
      </c>
      <c r="T76" s="5">
        <f t="shared" si="64"/>
        <v>79.269999999999982</v>
      </c>
      <c r="U76" s="6">
        <f t="shared" si="65"/>
        <v>1.2717797510885589</v>
      </c>
      <c r="V76" s="4"/>
      <c r="W76" s="5">
        <f>291.67</f>
        <v>291.67</v>
      </c>
      <c r="X76" s="5">
        <f t="shared" si="66"/>
        <v>-291.67</v>
      </c>
      <c r="Y76" s="6">
        <f t="shared" si="67"/>
        <v>0</v>
      </c>
      <c r="Z76" s="5">
        <f>34.5</f>
        <v>34.5</v>
      </c>
      <c r="AA76" s="5">
        <f>291.67</f>
        <v>291.67</v>
      </c>
      <c r="AB76" s="5">
        <f t="shared" si="68"/>
        <v>-257.17</v>
      </c>
      <c r="AC76" s="6">
        <f t="shared" si="69"/>
        <v>0.11828436246442897</v>
      </c>
      <c r="AD76" s="5">
        <f>147.93</f>
        <v>147.93</v>
      </c>
      <c r="AE76" s="5">
        <f>291.67</f>
        <v>291.67</v>
      </c>
      <c r="AF76" s="5">
        <f t="shared" si="70"/>
        <v>-143.74</v>
      </c>
      <c r="AG76" s="6">
        <f t="shared" si="71"/>
        <v>0.50718277505399934</v>
      </c>
      <c r="AH76" s="5">
        <f>269.14</f>
        <v>269.14</v>
      </c>
      <c r="AI76" s="5">
        <f>291.67</f>
        <v>291.67</v>
      </c>
      <c r="AJ76" s="5">
        <f t="shared" si="72"/>
        <v>-22.53000000000003</v>
      </c>
      <c r="AK76" s="6">
        <f t="shared" si="73"/>
        <v>0.92275516851235972</v>
      </c>
      <c r="AL76" s="5">
        <f>50.55</f>
        <v>50.55</v>
      </c>
      <c r="AM76" s="5">
        <f>291.67</f>
        <v>291.67</v>
      </c>
      <c r="AN76" s="5">
        <f t="shared" si="74"/>
        <v>-241.12</v>
      </c>
      <c r="AO76" s="6">
        <f t="shared" si="75"/>
        <v>0.17331230500222852</v>
      </c>
      <c r="AP76" s="5"/>
      <c r="AQ76" s="5">
        <f>291.67</f>
        <v>291.67</v>
      </c>
      <c r="AR76" s="5">
        <f t="shared" si="76"/>
        <v>-291.67</v>
      </c>
      <c r="AS76" s="6">
        <f t="shared" si="77"/>
        <v>0</v>
      </c>
      <c r="AT76" s="4"/>
      <c r="AU76" s="5">
        <f>291.63</f>
        <v>291.63</v>
      </c>
      <c r="AV76" s="5">
        <f t="shared" si="78"/>
        <v>-291.63</v>
      </c>
      <c r="AW76" s="6">
        <f t="shared" si="79"/>
        <v>0</v>
      </c>
      <c r="AX76" s="20">
        <f t="shared" si="80"/>
        <v>1742.61</v>
      </c>
      <c r="AY76" s="5">
        <f t="shared" si="81"/>
        <v>3500.0000000000005</v>
      </c>
      <c r="AZ76" s="5">
        <f t="shared" si="82"/>
        <v>-1757.3900000000006</v>
      </c>
      <c r="BA76" s="14">
        <f t="shared" si="83"/>
        <v>0.49788857142857135</v>
      </c>
    </row>
    <row r="77" spans="1:53" x14ac:dyDescent="0.25">
      <c r="A77" s="3" t="s">
        <v>86</v>
      </c>
      <c r="B77" s="4"/>
      <c r="C77" s="5">
        <f>41.67</f>
        <v>41.67</v>
      </c>
      <c r="D77" s="5">
        <f t="shared" si="56"/>
        <v>-41.67</v>
      </c>
      <c r="E77" s="6">
        <f t="shared" si="57"/>
        <v>0</v>
      </c>
      <c r="F77" s="5">
        <f>250</f>
        <v>250</v>
      </c>
      <c r="G77" s="5">
        <f>41.67</f>
        <v>41.67</v>
      </c>
      <c r="H77" s="5">
        <f t="shared" si="58"/>
        <v>208.32999999999998</v>
      </c>
      <c r="I77" s="6">
        <f t="shared" si="59"/>
        <v>5.9995200383969278</v>
      </c>
      <c r="J77" s="4"/>
      <c r="K77" s="5">
        <f>41.67</f>
        <v>41.67</v>
      </c>
      <c r="L77" s="5">
        <f t="shared" si="60"/>
        <v>-41.67</v>
      </c>
      <c r="M77" s="6">
        <f t="shared" si="61"/>
        <v>0</v>
      </c>
      <c r="N77" s="4"/>
      <c r="O77" s="5">
        <f>41.67</f>
        <v>41.67</v>
      </c>
      <c r="P77" s="5">
        <f t="shared" si="62"/>
        <v>-41.67</v>
      </c>
      <c r="Q77" s="6">
        <f t="shared" si="63"/>
        <v>0</v>
      </c>
      <c r="R77" s="5">
        <f>38.49</f>
        <v>38.49</v>
      </c>
      <c r="S77" s="5">
        <f>41.67</f>
        <v>41.67</v>
      </c>
      <c r="T77" s="5">
        <f t="shared" si="64"/>
        <v>-3.1799999999999997</v>
      </c>
      <c r="U77" s="6">
        <f t="shared" si="65"/>
        <v>0.9236861051115911</v>
      </c>
      <c r="V77" s="4"/>
      <c r="W77" s="5">
        <f>41.67</f>
        <v>41.67</v>
      </c>
      <c r="X77" s="5">
        <f t="shared" si="66"/>
        <v>-41.67</v>
      </c>
      <c r="Y77" s="6">
        <f t="shared" si="67"/>
        <v>0</v>
      </c>
      <c r="Z77" s="4"/>
      <c r="AA77" s="5">
        <f>41.67</f>
        <v>41.67</v>
      </c>
      <c r="AB77" s="5">
        <f t="shared" si="68"/>
        <v>-41.67</v>
      </c>
      <c r="AC77" s="6">
        <f t="shared" si="69"/>
        <v>0</v>
      </c>
      <c r="AD77" s="4"/>
      <c r="AE77" s="5">
        <f>41.67</f>
        <v>41.67</v>
      </c>
      <c r="AF77" s="5">
        <f t="shared" si="70"/>
        <v>-41.67</v>
      </c>
      <c r="AG77" s="6">
        <f t="shared" si="71"/>
        <v>0</v>
      </c>
      <c r="AH77" s="4"/>
      <c r="AI77" s="5">
        <f>41.67</f>
        <v>41.67</v>
      </c>
      <c r="AJ77" s="5">
        <f t="shared" si="72"/>
        <v>-41.67</v>
      </c>
      <c r="AK77" s="6">
        <f t="shared" si="73"/>
        <v>0</v>
      </c>
      <c r="AL77" s="4"/>
      <c r="AM77" s="5">
        <f>41.67</f>
        <v>41.67</v>
      </c>
      <c r="AN77" s="5">
        <f t="shared" si="74"/>
        <v>-41.67</v>
      </c>
      <c r="AO77" s="6">
        <f t="shared" si="75"/>
        <v>0</v>
      </c>
      <c r="AP77" s="4"/>
      <c r="AQ77" s="5">
        <f>41.67</f>
        <v>41.67</v>
      </c>
      <c r="AR77" s="5">
        <f t="shared" si="76"/>
        <v>-41.67</v>
      </c>
      <c r="AS77" s="6">
        <f t="shared" si="77"/>
        <v>0</v>
      </c>
      <c r="AT77" s="4"/>
      <c r="AU77" s="5">
        <f>41.63</f>
        <v>41.63</v>
      </c>
      <c r="AV77" s="5">
        <f t="shared" si="78"/>
        <v>-41.63</v>
      </c>
      <c r="AW77" s="6">
        <f t="shared" si="79"/>
        <v>0</v>
      </c>
      <c r="AX77" s="20">
        <f t="shared" si="80"/>
        <v>288.49</v>
      </c>
      <c r="AY77" s="5">
        <f t="shared" si="81"/>
        <v>500.00000000000011</v>
      </c>
      <c r="AZ77" s="5">
        <f t="shared" si="82"/>
        <v>-211.5100000000001</v>
      </c>
      <c r="BA77" s="14">
        <f t="shared" si="83"/>
        <v>0.57697999999999994</v>
      </c>
    </row>
    <row r="78" spans="1:53" x14ac:dyDescent="0.25">
      <c r="A78" s="3" t="s">
        <v>87</v>
      </c>
      <c r="B78" s="7">
        <f>(B76)+(B77)</f>
        <v>384.62</v>
      </c>
      <c r="C78" s="7">
        <f>(C76)+(C77)</f>
        <v>333.34000000000003</v>
      </c>
      <c r="D78" s="7">
        <f t="shared" si="56"/>
        <v>51.279999999999973</v>
      </c>
      <c r="E78" s="8">
        <f t="shared" si="57"/>
        <v>1.1538369232615346</v>
      </c>
      <c r="F78" s="7">
        <f>(F76)+(F77)</f>
        <v>264.79000000000002</v>
      </c>
      <c r="G78" s="7">
        <f>(G76)+(G77)</f>
        <v>333.34000000000003</v>
      </c>
      <c r="H78" s="7">
        <f t="shared" si="58"/>
        <v>-68.550000000000011</v>
      </c>
      <c r="I78" s="8">
        <f t="shared" si="59"/>
        <v>0.79435411291774161</v>
      </c>
      <c r="J78" s="7">
        <f>(J76)+(J77)</f>
        <v>0</v>
      </c>
      <c r="K78" s="7">
        <f>(K76)+(K77)</f>
        <v>333.34000000000003</v>
      </c>
      <c r="L78" s="7">
        <f t="shared" si="60"/>
        <v>-333.34000000000003</v>
      </c>
      <c r="M78" s="8">
        <f t="shared" si="61"/>
        <v>0</v>
      </c>
      <c r="N78" s="7">
        <f>(N76)+(N77)</f>
        <v>470.14</v>
      </c>
      <c r="O78" s="7">
        <f>(O76)+(O77)</f>
        <v>333.34000000000003</v>
      </c>
      <c r="P78" s="7">
        <f t="shared" si="62"/>
        <v>136.79999999999995</v>
      </c>
      <c r="Q78" s="8">
        <f t="shared" si="63"/>
        <v>1.4103917921641564</v>
      </c>
      <c r="R78" s="7">
        <f>(R76)+(R77)</f>
        <v>409.43</v>
      </c>
      <c r="S78" s="7">
        <f>(S76)+(S77)</f>
        <v>333.34000000000003</v>
      </c>
      <c r="T78" s="7">
        <f t="shared" si="64"/>
        <v>76.089999999999975</v>
      </c>
      <c r="U78" s="8">
        <f t="shared" si="65"/>
        <v>1.228265434691306</v>
      </c>
      <c r="V78" s="7">
        <f>(V76)+(V77)</f>
        <v>0</v>
      </c>
      <c r="W78" s="7">
        <f>(W76)+(W77)</f>
        <v>333.34000000000003</v>
      </c>
      <c r="X78" s="7">
        <f t="shared" si="66"/>
        <v>-333.34000000000003</v>
      </c>
      <c r="Y78" s="8">
        <f t="shared" si="67"/>
        <v>0</v>
      </c>
      <c r="Z78" s="7">
        <f>(Z76)+(Z77)</f>
        <v>34.5</v>
      </c>
      <c r="AA78" s="7">
        <f>(AA76)+(AA77)</f>
        <v>333.34000000000003</v>
      </c>
      <c r="AB78" s="7">
        <f t="shared" si="68"/>
        <v>-298.84000000000003</v>
      </c>
      <c r="AC78" s="8">
        <f t="shared" si="69"/>
        <v>0.10349793004139916</v>
      </c>
      <c r="AD78" s="7">
        <f>(AD76)+(AD77)</f>
        <v>147.93</v>
      </c>
      <c r="AE78" s="7">
        <f>(AE76)+(AE77)</f>
        <v>333.34000000000003</v>
      </c>
      <c r="AF78" s="7">
        <f t="shared" si="70"/>
        <v>-185.41000000000003</v>
      </c>
      <c r="AG78" s="8">
        <f t="shared" si="71"/>
        <v>0.44378112437751244</v>
      </c>
      <c r="AH78" s="7">
        <f>(AH76)+(AH77)</f>
        <v>269.14</v>
      </c>
      <c r="AI78" s="7">
        <f>(AI76)+(AI77)</f>
        <v>333.34000000000003</v>
      </c>
      <c r="AJ78" s="7">
        <f t="shared" si="72"/>
        <v>-64.200000000000045</v>
      </c>
      <c r="AK78" s="8">
        <f t="shared" si="73"/>
        <v>0.80740385192296138</v>
      </c>
      <c r="AL78" s="7">
        <f>(AL76)+(AL77)</f>
        <v>50.55</v>
      </c>
      <c r="AM78" s="7">
        <f>(AM76)+(AM77)</f>
        <v>333.34000000000003</v>
      </c>
      <c r="AN78" s="7">
        <f t="shared" si="74"/>
        <v>-282.79000000000002</v>
      </c>
      <c r="AO78" s="8">
        <f t="shared" si="75"/>
        <v>0.15164696706065878</v>
      </c>
      <c r="AP78" s="7">
        <f>(AP76)+(AP77)</f>
        <v>0</v>
      </c>
      <c r="AQ78" s="7">
        <f>(AQ76)+(AQ77)</f>
        <v>333.34000000000003</v>
      </c>
      <c r="AR78" s="7">
        <f t="shared" si="76"/>
        <v>-333.34000000000003</v>
      </c>
      <c r="AS78" s="8">
        <f t="shared" si="77"/>
        <v>0</v>
      </c>
      <c r="AT78" s="7">
        <f>(AT76)+(AT77)</f>
        <v>0</v>
      </c>
      <c r="AU78" s="7">
        <f>(AU76)+(AU77)</f>
        <v>333.26</v>
      </c>
      <c r="AV78" s="7">
        <f t="shared" si="78"/>
        <v>-333.26</v>
      </c>
      <c r="AW78" s="8">
        <f t="shared" si="79"/>
        <v>0</v>
      </c>
      <c r="AX78" s="21">
        <f t="shared" si="80"/>
        <v>2031.1000000000001</v>
      </c>
      <c r="AY78" s="9">
        <f t="shared" si="81"/>
        <v>4000.0000000000009</v>
      </c>
      <c r="AZ78" s="9">
        <f t="shared" si="82"/>
        <v>-1968.9000000000008</v>
      </c>
      <c r="BA78" s="15">
        <f t="shared" si="83"/>
        <v>0.50777499999999987</v>
      </c>
    </row>
    <row r="79" spans="1:53" x14ac:dyDescent="0.25">
      <c r="A79" s="3" t="s">
        <v>88</v>
      </c>
      <c r="B79" s="4"/>
      <c r="C79" s="5">
        <f>83.33</f>
        <v>83.33</v>
      </c>
      <c r="D79" s="5">
        <f t="shared" si="56"/>
        <v>-83.33</v>
      </c>
      <c r="E79" s="6">
        <f t="shared" si="57"/>
        <v>0</v>
      </c>
      <c r="F79" s="4"/>
      <c r="G79" s="5">
        <f>83.33</f>
        <v>83.33</v>
      </c>
      <c r="H79" s="5">
        <f t="shared" si="58"/>
        <v>-83.33</v>
      </c>
      <c r="I79" s="6">
        <f t="shared" si="59"/>
        <v>0</v>
      </c>
      <c r="J79" s="4"/>
      <c r="K79" s="5">
        <f>83.33</f>
        <v>83.33</v>
      </c>
      <c r="L79" s="5">
        <f t="shared" si="60"/>
        <v>-83.33</v>
      </c>
      <c r="M79" s="6">
        <f t="shared" si="61"/>
        <v>0</v>
      </c>
      <c r="N79" s="4"/>
      <c r="O79" s="5">
        <f>83.33</f>
        <v>83.33</v>
      </c>
      <c r="P79" s="5">
        <f t="shared" si="62"/>
        <v>-83.33</v>
      </c>
      <c r="Q79" s="6">
        <f t="shared" si="63"/>
        <v>0</v>
      </c>
      <c r="R79" s="4"/>
      <c r="S79" s="5">
        <f>83.33</f>
        <v>83.33</v>
      </c>
      <c r="T79" s="5">
        <f t="shared" si="64"/>
        <v>-83.33</v>
      </c>
      <c r="U79" s="6">
        <f t="shared" si="65"/>
        <v>0</v>
      </c>
      <c r="V79" s="4"/>
      <c r="W79" s="5">
        <f>83.33</f>
        <v>83.33</v>
      </c>
      <c r="X79" s="5">
        <f t="shared" si="66"/>
        <v>-83.33</v>
      </c>
      <c r="Y79" s="6">
        <f t="shared" si="67"/>
        <v>0</v>
      </c>
      <c r="Z79" s="5">
        <f>26.4</f>
        <v>26.4</v>
      </c>
      <c r="AA79" s="5">
        <f>83.33</f>
        <v>83.33</v>
      </c>
      <c r="AB79" s="5">
        <f t="shared" si="68"/>
        <v>-56.93</v>
      </c>
      <c r="AC79" s="6">
        <f t="shared" si="69"/>
        <v>0.31681267250690026</v>
      </c>
      <c r="AD79" s="4"/>
      <c r="AE79" s="5">
        <f>83.33</f>
        <v>83.33</v>
      </c>
      <c r="AF79" s="5">
        <f t="shared" si="70"/>
        <v>-83.33</v>
      </c>
      <c r="AG79" s="6">
        <f t="shared" si="71"/>
        <v>0</v>
      </c>
      <c r="AH79" s="4"/>
      <c r="AI79" s="5">
        <f>83.33</f>
        <v>83.33</v>
      </c>
      <c r="AJ79" s="5">
        <f t="shared" si="72"/>
        <v>-83.33</v>
      </c>
      <c r="AK79" s="6">
        <f t="shared" si="73"/>
        <v>0</v>
      </c>
      <c r="AL79" s="5">
        <f>75</f>
        <v>75</v>
      </c>
      <c r="AM79" s="5">
        <f>83.33</f>
        <v>83.33</v>
      </c>
      <c r="AN79" s="5">
        <f t="shared" si="74"/>
        <v>-8.3299999999999983</v>
      </c>
      <c r="AO79" s="6">
        <f t="shared" si="75"/>
        <v>0.90003600144005758</v>
      </c>
      <c r="AP79" s="5"/>
      <c r="AQ79" s="5">
        <f>83.33</f>
        <v>83.33</v>
      </c>
      <c r="AR79" s="5">
        <f t="shared" si="76"/>
        <v>-83.33</v>
      </c>
      <c r="AS79" s="6">
        <f t="shared" si="77"/>
        <v>0</v>
      </c>
      <c r="AT79" s="4"/>
      <c r="AU79" s="5">
        <f>83.37</f>
        <v>83.37</v>
      </c>
      <c r="AV79" s="5">
        <f t="shared" si="78"/>
        <v>-83.37</v>
      </c>
      <c r="AW79" s="6">
        <f t="shared" si="79"/>
        <v>0</v>
      </c>
      <c r="AX79" s="20">
        <f t="shared" si="80"/>
        <v>101.4</v>
      </c>
      <c r="AY79" s="5">
        <f t="shared" si="81"/>
        <v>1000.0000000000001</v>
      </c>
      <c r="AZ79" s="5">
        <f t="shared" si="82"/>
        <v>-898.60000000000014</v>
      </c>
      <c r="BA79" s="14">
        <f t="shared" si="83"/>
        <v>0.10139999999999999</v>
      </c>
    </row>
    <row r="80" spans="1:53" x14ac:dyDescent="0.25">
      <c r="A80" s="3" t="s">
        <v>89</v>
      </c>
      <c r="B80" s="4"/>
      <c r="C80" s="5">
        <f>41.67</f>
        <v>41.67</v>
      </c>
      <c r="D80" s="5">
        <f t="shared" si="56"/>
        <v>-41.67</v>
      </c>
      <c r="E80" s="6">
        <f t="shared" si="57"/>
        <v>0</v>
      </c>
      <c r="F80" s="4"/>
      <c r="G80" s="5">
        <f>41.67</f>
        <v>41.67</v>
      </c>
      <c r="H80" s="5">
        <f t="shared" si="58"/>
        <v>-41.67</v>
      </c>
      <c r="I80" s="6">
        <f t="shared" si="59"/>
        <v>0</v>
      </c>
      <c r="J80" s="4"/>
      <c r="K80" s="5">
        <f>41.67</f>
        <v>41.67</v>
      </c>
      <c r="L80" s="5">
        <f t="shared" si="60"/>
        <v>-41.67</v>
      </c>
      <c r="M80" s="6">
        <f t="shared" si="61"/>
        <v>0</v>
      </c>
      <c r="N80" s="4"/>
      <c r="O80" s="5">
        <f>41.67</f>
        <v>41.67</v>
      </c>
      <c r="P80" s="5">
        <f t="shared" si="62"/>
        <v>-41.67</v>
      </c>
      <c r="Q80" s="6">
        <f t="shared" si="63"/>
        <v>0</v>
      </c>
      <c r="R80" s="4"/>
      <c r="S80" s="5">
        <f>41.67</f>
        <v>41.67</v>
      </c>
      <c r="T80" s="5">
        <f t="shared" si="64"/>
        <v>-41.67</v>
      </c>
      <c r="U80" s="6">
        <f t="shared" si="65"/>
        <v>0</v>
      </c>
      <c r="V80" s="4"/>
      <c r="W80" s="5">
        <f>41.67</f>
        <v>41.67</v>
      </c>
      <c r="X80" s="5">
        <f t="shared" si="66"/>
        <v>-41.67</v>
      </c>
      <c r="Y80" s="6">
        <f t="shared" si="67"/>
        <v>0</v>
      </c>
      <c r="Z80" s="4"/>
      <c r="AA80" s="5">
        <f>41.67</f>
        <v>41.67</v>
      </c>
      <c r="AB80" s="5">
        <f t="shared" si="68"/>
        <v>-41.67</v>
      </c>
      <c r="AC80" s="6">
        <f t="shared" si="69"/>
        <v>0</v>
      </c>
      <c r="AD80" s="4"/>
      <c r="AE80" s="5">
        <f>41.67</f>
        <v>41.67</v>
      </c>
      <c r="AF80" s="5">
        <f t="shared" si="70"/>
        <v>-41.67</v>
      </c>
      <c r="AG80" s="6">
        <f t="shared" si="71"/>
        <v>0</v>
      </c>
      <c r="AH80" s="4"/>
      <c r="AI80" s="5">
        <f>41.67</f>
        <v>41.67</v>
      </c>
      <c r="AJ80" s="5">
        <f t="shared" si="72"/>
        <v>-41.67</v>
      </c>
      <c r="AK80" s="6">
        <f t="shared" si="73"/>
        <v>0</v>
      </c>
      <c r="AL80" s="4"/>
      <c r="AM80" s="5">
        <f>41.67</f>
        <v>41.67</v>
      </c>
      <c r="AN80" s="5">
        <f t="shared" si="74"/>
        <v>-41.67</v>
      </c>
      <c r="AO80" s="6">
        <f t="shared" si="75"/>
        <v>0</v>
      </c>
      <c r="AP80" s="4"/>
      <c r="AQ80" s="5">
        <f>41.67</f>
        <v>41.67</v>
      </c>
      <c r="AR80" s="5">
        <f t="shared" si="76"/>
        <v>-41.67</v>
      </c>
      <c r="AS80" s="6">
        <f t="shared" si="77"/>
        <v>0</v>
      </c>
      <c r="AT80" s="4"/>
      <c r="AU80" s="5">
        <f>41.63</f>
        <v>41.63</v>
      </c>
      <c r="AV80" s="5">
        <f t="shared" si="78"/>
        <v>-41.63</v>
      </c>
      <c r="AW80" s="6">
        <f t="shared" si="79"/>
        <v>0</v>
      </c>
      <c r="AX80" s="20">
        <f t="shared" si="80"/>
        <v>0</v>
      </c>
      <c r="AY80" s="5">
        <f t="shared" si="81"/>
        <v>500.00000000000011</v>
      </c>
      <c r="AZ80" s="5">
        <f t="shared" si="82"/>
        <v>-500.00000000000011</v>
      </c>
      <c r="BA80" s="14">
        <f t="shared" si="83"/>
        <v>0</v>
      </c>
    </row>
    <row r="81" spans="1:54" x14ac:dyDescent="0.25">
      <c r="A81" s="3" t="s">
        <v>90</v>
      </c>
      <c r="B81" s="5">
        <f>141.45</f>
        <v>141.44999999999999</v>
      </c>
      <c r="C81" s="5">
        <f>41.67</f>
        <v>41.67</v>
      </c>
      <c r="D81" s="5">
        <f t="shared" si="56"/>
        <v>99.779999999999987</v>
      </c>
      <c r="E81" s="6">
        <f t="shared" si="57"/>
        <v>3.3945284377249818</v>
      </c>
      <c r="F81" s="5">
        <f>5.09</f>
        <v>5.09</v>
      </c>
      <c r="G81" s="5">
        <f>41.67</f>
        <v>41.67</v>
      </c>
      <c r="H81" s="5">
        <f t="shared" si="58"/>
        <v>-36.58</v>
      </c>
      <c r="I81" s="6">
        <f t="shared" si="59"/>
        <v>0.12215022798176145</v>
      </c>
      <c r="J81" s="4"/>
      <c r="K81" s="5">
        <f>41.67</f>
        <v>41.67</v>
      </c>
      <c r="L81" s="5">
        <f t="shared" si="60"/>
        <v>-41.67</v>
      </c>
      <c r="M81" s="6">
        <f t="shared" si="61"/>
        <v>0</v>
      </c>
      <c r="N81" s="5">
        <f>94.21</f>
        <v>94.21</v>
      </c>
      <c r="O81" s="5">
        <f>41.67</f>
        <v>41.67</v>
      </c>
      <c r="P81" s="5">
        <f t="shared" si="62"/>
        <v>52.539999999999992</v>
      </c>
      <c r="Q81" s="6">
        <f t="shared" si="63"/>
        <v>2.2608591312694983</v>
      </c>
      <c r="R81" s="4"/>
      <c r="S81" s="5">
        <f>41.67</f>
        <v>41.67</v>
      </c>
      <c r="T81" s="5">
        <f t="shared" si="64"/>
        <v>-41.67</v>
      </c>
      <c r="U81" s="6">
        <f t="shared" si="65"/>
        <v>0</v>
      </c>
      <c r="V81" s="4"/>
      <c r="W81" s="5">
        <f>41.67</f>
        <v>41.67</v>
      </c>
      <c r="X81" s="5">
        <f t="shared" si="66"/>
        <v>-41.67</v>
      </c>
      <c r="Y81" s="6">
        <f t="shared" si="67"/>
        <v>0</v>
      </c>
      <c r="Z81" s="5">
        <f>42.85</f>
        <v>42.85</v>
      </c>
      <c r="AA81" s="5">
        <f>41.67</f>
        <v>41.67</v>
      </c>
      <c r="AB81" s="5">
        <f t="shared" si="68"/>
        <v>1.1799999999999997</v>
      </c>
      <c r="AC81" s="6">
        <f t="shared" si="69"/>
        <v>1.0283177345812335</v>
      </c>
      <c r="AD81" s="4"/>
      <c r="AE81" s="5">
        <f>41.67</f>
        <v>41.67</v>
      </c>
      <c r="AF81" s="5">
        <f t="shared" si="70"/>
        <v>-41.67</v>
      </c>
      <c r="AG81" s="6">
        <f t="shared" si="71"/>
        <v>0</v>
      </c>
      <c r="AH81" s="5">
        <f>26.12</f>
        <v>26.12</v>
      </c>
      <c r="AI81" s="5">
        <f>41.67</f>
        <v>41.67</v>
      </c>
      <c r="AJ81" s="5">
        <f t="shared" si="72"/>
        <v>-15.55</v>
      </c>
      <c r="AK81" s="6">
        <f t="shared" si="73"/>
        <v>0.62682985361171106</v>
      </c>
      <c r="AL81" s="4"/>
      <c r="AM81" s="5">
        <f>41.67</f>
        <v>41.67</v>
      </c>
      <c r="AN81" s="5">
        <f t="shared" si="74"/>
        <v>-41.67</v>
      </c>
      <c r="AO81" s="6">
        <f t="shared" si="75"/>
        <v>0</v>
      </c>
      <c r="AP81" s="4"/>
      <c r="AQ81" s="5">
        <f>41.67</f>
        <v>41.67</v>
      </c>
      <c r="AR81" s="5">
        <f t="shared" si="76"/>
        <v>-41.67</v>
      </c>
      <c r="AS81" s="6">
        <f t="shared" si="77"/>
        <v>0</v>
      </c>
      <c r="AT81" s="4"/>
      <c r="AU81" s="5">
        <f>41.63</f>
        <v>41.63</v>
      </c>
      <c r="AV81" s="5">
        <f t="shared" si="78"/>
        <v>-41.63</v>
      </c>
      <c r="AW81" s="6">
        <f t="shared" si="79"/>
        <v>0</v>
      </c>
      <c r="AX81" s="20">
        <f t="shared" si="80"/>
        <v>309.72000000000003</v>
      </c>
      <c r="AY81" s="5">
        <f t="shared" si="81"/>
        <v>500.00000000000011</v>
      </c>
      <c r="AZ81" s="5">
        <f t="shared" si="82"/>
        <v>-190.28000000000009</v>
      </c>
      <c r="BA81" s="14">
        <f t="shared" si="83"/>
        <v>0.61943999999999988</v>
      </c>
    </row>
    <row r="82" spans="1:54" x14ac:dyDescent="0.25">
      <c r="A82" s="3" t="s">
        <v>91</v>
      </c>
      <c r="B82" s="4"/>
      <c r="C82" s="5">
        <f>62.5</f>
        <v>62.5</v>
      </c>
      <c r="D82" s="5">
        <f t="shared" si="56"/>
        <v>-62.5</v>
      </c>
      <c r="E82" s="6">
        <f t="shared" si="57"/>
        <v>0</v>
      </c>
      <c r="F82" s="4"/>
      <c r="G82" s="5">
        <f>62.5</f>
        <v>62.5</v>
      </c>
      <c r="H82" s="5">
        <f t="shared" si="58"/>
        <v>-62.5</v>
      </c>
      <c r="I82" s="6">
        <f t="shared" si="59"/>
        <v>0</v>
      </c>
      <c r="J82" s="5">
        <f>660</f>
        <v>660</v>
      </c>
      <c r="K82" s="5">
        <f>62.5</f>
        <v>62.5</v>
      </c>
      <c r="L82" s="5">
        <f t="shared" si="60"/>
        <v>597.5</v>
      </c>
      <c r="M82" s="6">
        <f t="shared" si="61"/>
        <v>10.56</v>
      </c>
      <c r="N82" s="4"/>
      <c r="O82" s="5">
        <f>62.5</f>
        <v>62.5</v>
      </c>
      <c r="P82" s="5">
        <f t="shared" si="62"/>
        <v>-62.5</v>
      </c>
      <c r="Q82" s="6">
        <f t="shared" si="63"/>
        <v>0</v>
      </c>
      <c r="R82" s="4"/>
      <c r="S82" s="5">
        <f>62.5</f>
        <v>62.5</v>
      </c>
      <c r="T82" s="5">
        <f t="shared" si="64"/>
        <v>-62.5</v>
      </c>
      <c r="U82" s="6">
        <f t="shared" si="65"/>
        <v>0</v>
      </c>
      <c r="V82" s="4"/>
      <c r="W82" s="5">
        <f>62.5</f>
        <v>62.5</v>
      </c>
      <c r="X82" s="5">
        <f t="shared" si="66"/>
        <v>-62.5</v>
      </c>
      <c r="Y82" s="6">
        <f t="shared" si="67"/>
        <v>0</v>
      </c>
      <c r="Z82" s="4"/>
      <c r="AA82" s="5">
        <f>62.5</f>
        <v>62.5</v>
      </c>
      <c r="AB82" s="5">
        <f t="shared" si="68"/>
        <v>-62.5</v>
      </c>
      <c r="AC82" s="6">
        <f t="shared" si="69"/>
        <v>0</v>
      </c>
      <c r="AD82" s="4"/>
      <c r="AE82" s="5">
        <f>62.5</f>
        <v>62.5</v>
      </c>
      <c r="AF82" s="5">
        <f t="shared" si="70"/>
        <v>-62.5</v>
      </c>
      <c r="AG82" s="6">
        <f t="shared" si="71"/>
        <v>0</v>
      </c>
      <c r="AH82" s="4"/>
      <c r="AI82" s="5">
        <f>62.5</f>
        <v>62.5</v>
      </c>
      <c r="AJ82" s="5">
        <f t="shared" si="72"/>
        <v>-62.5</v>
      </c>
      <c r="AK82" s="6">
        <f t="shared" si="73"/>
        <v>0</v>
      </c>
      <c r="AL82" s="4"/>
      <c r="AM82" s="5">
        <f>62.5</f>
        <v>62.5</v>
      </c>
      <c r="AN82" s="5">
        <f t="shared" si="74"/>
        <v>-62.5</v>
      </c>
      <c r="AO82" s="6">
        <f t="shared" si="75"/>
        <v>0</v>
      </c>
      <c r="AP82" s="4"/>
      <c r="AQ82" s="5">
        <f>62.5</f>
        <v>62.5</v>
      </c>
      <c r="AR82" s="5">
        <f t="shared" si="76"/>
        <v>-62.5</v>
      </c>
      <c r="AS82" s="6">
        <f t="shared" si="77"/>
        <v>0</v>
      </c>
      <c r="AT82" s="4"/>
      <c r="AU82" s="5">
        <f>62.5</f>
        <v>62.5</v>
      </c>
      <c r="AV82" s="5">
        <f t="shared" si="78"/>
        <v>-62.5</v>
      </c>
      <c r="AW82" s="6">
        <f t="shared" si="79"/>
        <v>0</v>
      </c>
      <c r="AX82" s="20">
        <f t="shared" si="80"/>
        <v>660</v>
      </c>
      <c r="AY82" s="5">
        <f t="shared" si="81"/>
        <v>750</v>
      </c>
      <c r="AZ82" s="5">
        <f t="shared" si="82"/>
        <v>-90</v>
      </c>
      <c r="BA82" s="14">
        <f t="shared" si="83"/>
        <v>0.88</v>
      </c>
    </row>
    <row r="83" spans="1:54" x14ac:dyDescent="0.25">
      <c r="A83" s="3" t="s">
        <v>92</v>
      </c>
      <c r="B83" s="4"/>
      <c r="C83" s="5">
        <f>133.33</f>
        <v>133.33000000000001</v>
      </c>
      <c r="D83" s="5">
        <f t="shared" si="56"/>
        <v>-133.33000000000001</v>
      </c>
      <c r="E83" s="6">
        <f t="shared" si="57"/>
        <v>0</v>
      </c>
      <c r="F83" s="4"/>
      <c r="G83" s="5">
        <f>133.33</f>
        <v>133.33000000000001</v>
      </c>
      <c r="H83" s="5">
        <f t="shared" si="58"/>
        <v>-133.33000000000001</v>
      </c>
      <c r="I83" s="6">
        <f t="shared" si="59"/>
        <v>0</v>
      </c>
      <c r="J83" s="4"/>
      <c r="K83" s="5">
        <f>133.33</f>
        <v>133.33000000000001</v>
      </c>
      <c r="L83" s="5">
        <f t="shared" si="60"/>
        <v>-133.33000000000001</v>
      </c>
      <c r="M83" s="6">
        <f t="shared" si="61"/>
        <v>0</v>
      </c>
      <c r="N83" s="5">
        <f>350</f>
        <v>350</v>
      </c>
      <c r="O83" s="5">
        <f>133.33</f>
        <v>133.33000000000001</v>
      </c>
      <c r="P83" s="5">
        <f t="shared" si="62"/>
        <v>216.67</v>
      </c>
      <c r="Q83" s="6">
        <f t="shared" si="63"/>
        <v>2.6250656266406658</v>
      </c>
      <c r="R83" s="5">
        <f>298.1</f>
        <v>298.10000000000002</v>
      </c>
      <c r="S83" s="5">
        <f>133.33</f>
        <v>133.33000000000001</v>
      </c>
      <c r="T83" s="5">
        <f t="shared" si="64"/>
        <v>164.77</v>
      </c>
      <c r="U83" s="6">
        <f t="shared" si="65"/>
        <v>2.2358058951473785</v>
      </c>
      <c r="V83" s="4"/>
      <c r="W83" s="5">
        <f>133.33</f>
        <v>133.33000000000001</v>
      </c>
      <c r="X83" s="5">
        <f t="shared" si="66"/>
        <v>-133.33000000000001</v>
      </c>
      <c r="Y83" s="6">
        <f t="shared" si="67"/>
        <v>0</v>
      </c>
      <c r="Z83" s="4"/>
      <c r="AA83" s="5">
        <f>133.33</f>
        <v>133.33000000000001</v>
      </c>
      <c r="AB83" s="5">
        <f t="shared" si="68"/>
        <v>-133.33000000000001</v>
      </c>
      <c r="AC83" s="6">
        <f t="shared" si="69"/>
        <v>0</v>
      </c>
      <c r="AD83" s="4"/>
      <c r="AE83" s="5">
        <f>133.33</f>
        <v>133.33000000000001</v>
      </c>
      <c r="AF83" s="5">
        <f t="shared" si="70"/>
        <v>-133.33000000000001</v>
      </c>
      <c r="AG83" s="6">
        <f t="shared" si="71"/>
        <v>0</v>
      </c>
      <c r="AH83" s="5">
        <f>250</f>
        <v>250</v>
      </c>
      <c r="AI83" s="5">
        <f>133.33</f>
        <v>133.33000000000001</v>
      </c>
      <c r="AJ83" s="5">
        <f t="shared" si="72"/>
        <v>116.66999999999999</v>
      </c>
      <c r="AK83" s="6">
        <f t="shared" si="73"/>
        <v>1.8750468761719041</v>
      </c>
      <c r="AL83" s="5">
        <f>417</f>
        <v>417</v>
      </c>
      <c r="AM83" s="5">
        <f>133.33</f>
        <v>133.33000000000001</v>
      </c>
      <c r="AN83" s="5">
        <f t="shared" si="74"/>
        <v>283.66999999999996</v>
      </c>
      <c r="AO83" s="6">
        <f t="shared" si="75"/>
        <v>3.1275781894547361</v>
      </c>
      <c r="AP83" s="4"/>
      <c r="AQ83" s="5">
        <f>133.33</f>
        <v>133.33000000000001</v>
      </c>
      <c r="AR83" s="5">
        <f t="shared" si="76"/>
        <v>-133.33000000000001</v>
      </c>
      <c r="AS83" s="6">
        <f t="shared" si="77"/>
        <v>0</v>
      </c>
      <c r="AT83" s="4"/>
      <c r="AU83" s="5">
        <f>133.37</f>
        <v>133.37</v>
      </c>
      <c r="AV83" s="5">
        <f t="shared" si="78"/>
        <v>-133.37</v>
      </c>
      <c r="AW83" s="6">
        <f t="shared" si="79"/>
        <v>0</v>
      </c>
      <c r="AX83" s="20">
        <f t="shared" si="80"/>
        <v>1315.1</v>
      </c>
      <c r="AY83" s="5">
        <f t="shared" si="81"/>
        <v>1600</v>
      </c>
      <c r="AZ83" s="5">
        <f t="shared" si="82"/>
        <v>-284.90000000000009</v>
      </c>
      <c r="BA83" s="14">
        <f t="shared" si="83"/>
        <v>0.82193749999999999</v>
      </c>
    </row>
    <row r="84" spans="1:54" x14ac:dyDescent="0.25">
      <c r="A84" s="3" t="s">
        <v>93</v>
      </c>
      <c r="B84" s="7">
        <f>((B81)+(B82))+(B83)</f>
        <v>141.44999999999999</v>
      </c>
      <c r="C84" s="7">
        <f>((C81)+(C82))+(C83)</f>
        <v>237.5</v>
      </c>
      <c r="D84" s="7">
        <f t="shared" ref="D84:D96" si="84">(B84)-(C84)</f>
        <v>-96.050000000000011</v>
      </c>
      <c r="E84" s="8">
        <f t="shared" ref="E84:E96" si="85">IF(C84=0,"",(B84)/(C84))</f>
        <v>0.59557894736842099</v>
      </c>
      <c r="F84" s="7">
        <f>((F81)+(F82))+(F83)</f>
        <v>5.09</v>
      </c>
      <c r="G84" s="7">
        <f>((G81)+(G82))+(G83)</f>
        <v>237.5</v>
      </c>
      <c r="H84" s="7">
        <f t="shared" ref="H84:H96" si="86">(F84)-(G84)</f>
        <v>-232.41</v>
      </c>
      <c r="I84" s="8">
        <f t="shared" ref="I84:I96" si="87">IF(G84=0,"",(F84)/(G84))</f>
        <v>2.143157894736842E-2</v>
      </c>
      <c r="J84" s="7">
        <f>((J81)+(J82))+(J83)</f>
        <v>660</v>
      </c>
      <c r="K84" s="7">
        <f>((K81)+(K82))+(K83)</f>
        <v>237.5</v>
      </c>
      <c r="L84" s="7">
        <f t="shared" ref="L84:L96" si="88">(J84)-(K84)</f>
        <v>422.5</v>
      </c>
      <c r="M84" s="8">
        <f t="shared" ref="M84:M96" si="89">IF(K84=0,"",(J84)/(K84))</f>
        <v>2.7789473684210528</v>
      </c>
      <c r="N84" s="7">
        <f>((N81)+(N82))+(N83)</f>
        <v>444.21</v>
      </c>
      <c r="O84" s="7">
        <f>((O81)+(O82))+(O83)</f>
        <v>237.5</v>
      </c>
      <c r="P84" s="7">
        <f t="shared" ref="P84:P96" si="90">(N84)-(O84)</f>
        <v>206.70999999999998</v>
      </c>
      <c r="Q84" s="8">
        <f t="shared" ref="Q84:Q96" si="91">IF(O84=0,"",(N84)/(O84))</f>
        <v>1.870357894736842</v>
      </c>
      <c r="R84" s="7">
        <f>((R81)+(R82))+(R83)</f>
        <v>298.10000000000002</v>
      </c>
      <c r="S84" s="7">
        <f>((S81)+(S82))+(S83)</f>
        <v>237.5</v>
      </c>
      <c r="T84" s="7">
        <f t="shared" ref="T84:T96" si="92">(R84)-(S84)</f>
        <v>60.600000000000023</v>
      </c>
      <c r="U84" s="8">
        <f t="shared" ref="U84:U96" si="93">IF(S84=0,"",(R84)/(S84))</f>
        <v>1.2551578947368423</v>
      </c>
      <c r="V84" s="7">
        <f>((V81)+(V82))+(V83)</f>
        <v>0</v>
      </c>
      <c r="W84" s="7">
        <f>((W81)+(W82))+(W83)</f>
        <v>237.5</v>
      </c>
      <c r="X84" s="7">
        <f t="shared" ref="X84:X96" si="94">(V84)-(W84)</f>
        <v>-237.5</v>
      </c>
      <c r="Y84" s="8">
        <f t="shared" ref="Y84:Y96" si="95">IF(W84=0,"",(V84)/(W84))</f>
        <v>0</v>
      </c>
      <c r="Z84" s="7">
        <f>((Z81)+(Z82))+(Z83)</f>
        <v>42.85</v>
      </c>
      <c r="AA84" s="7">
        <f>((AA81)+(AA82))+(AA83)</f>
        <v>237.5</v>
      </c>
      <c r="AB84" s="7">
        <f t="shared" ref="AB84:AB96" si="96">(Z84)-(AA84)</f>
        <v>-194.65</v>
      </c>
      <c r="AC84" s="8">
        <f t="shared" ref="AC84:AC96" si="97">IF(AA84=0,"",(Z84)/(AA84))</f>
        <v>0.18042105263157895</v>
      </c>
      <c r="AD84" s="7">
        <f>((AD81)+(AD82))+(AD83)</f>
        <v>0</v>
      </c>
      <c r="AE84" s="7">
        <f>((AE81)+(AE82))+(AE83)</f>
        <v>237.5</v>
      </c>
      <c r="AF84" s="7">
        <f t="shared" ref="AF84:AF96" si="98">(AD84)-(AE84)</f>
        <v>-237.5</v>
      </c>
      <c r="AG84" s="8">
        <f t="shared" ref="AG84:AG96" si="99">IF(AE84=0,"",(AD84)/(AE84))</f>
        <v>0</v>
      </c>
      <c r="AH84" s="7">
        <f>((AH81)+(AH82))+(AH83)</f>
        <v>276.12</v>
      </c>
      <c r="AI84" s="7">
        <f>((AI81)+(AI82))+(AI83)</f>
        <v>237.5</v>
      </c>
      <c r="AJ84" s="7">
        <f t="shared" ref="AJ84:AJ96" si="100">(AH84)-(AI84)</f>
        <v>38.620000000000005</v>
      </c>
      <c r="AK84" s="8">
        <f t="shared" ref="AK84:AK96" si="101">IF(AI84=0,"",(AH84)/(AI84))</f>
        <v>1.1626105263157895</v>
      </c>
      <c r="AL84" s="7">
        <f>((AL81)+(AL82))+(AL83)</f>
        <v>417</v>
      </c>
      <c r="AM84" s="7">
        <f>((AM81)+(AM82))+(AM83)</f>
        <v>237.5</v>
      </c>
      <c r="AN84" s="7">
        <f t="shared" ref="AN84:AN96" si="102">(AL84)-(AM84)</f>
        <v>179.5</v>
      </c>
      <c r="AO84" s="8">
        <f t="shared" ref="AO84:AO96" si="103">IF(AM84=0,"",(AL84)/(AM84))</f>
        <v>1.7557894736842106</v>
      </c>
      <c r="AP84" s="7">
        <f>((AP81)+(AP82))+(AP83)</f>
        <v>0</v>
      </c>
      <c r="AQ84" s="7">
        <f>((AQ81)+(AQ82))+(AQ83)</f>
        <v>237.5</v>
      </c>
      <c r="AR84" s="7">
        <f t="shared" ref="AR84:AR96" si="104">(AP84)-(AQ84)</f>
        <v>-237.5</v>
      </c>
      <c r="AS84" s="8">
        <f t="shared" ref="AS84:AS96" si="105">IF(AQ84=0,"",(AP84)/(AQ84))</f>
        <v>0</v>
      </c>
      <c r="AT84" s="7">
        <f>((AT81)+(AT82))+(AT83)</f>
        <v>0</v>
      </c>
      <c r="AU84" s="7">
        <f>((AU81)+(AU82))+(AU83)</f>
        <v>237.5</v>
      </c>
      <c r="AV84" s="7">
        <f t="shared" ref="AV84:AV96" si="106">(AT84)-(AU84)</f>
        <v>-237.5</v>
      </c>
      <c r="AW84" s="8">
        <f t="shared" ref="AW84:AW96" si="107">IF(AU84=0,"",(AT84)/(AU84))</f>
        <v>0</v>
      </c>
      <c r="AX84" s="21">
        <f t="shared" ref="AX84:AX96" si="108">(((((((((((B84)+(F84))+(J84))+(N84))+(R84))+(V84))+(Z84))+(AD84))+(AH84))+(AL84))+(AP84))+(AT84)</f>
        <v>2284.8199999999997</v>
      </c>
      <c r="AY84" s="9">
        <f t="shared" ref="AY84:AY96" si="109">(((((((((((C84)+(G84))+(K84))+(O84))+(S84))+(W84))+(AA84))+(AE84))+(AI84))+(AM84))+(AQ84))+(AU84)</f>
        <v>2850</v>
      </c>
      <c r="AZ84" s="9">
        <f t="shared" ref="AZ84:AZ96" si="110">(AX84)-(AY84)</f>
        <v>-565.18000000000029</v>
      </c>
      <c r="BA84" s="15">
        <f t="shared" ref="BA84:BA96" si="111">IF(AY84=0,"",(AX84)/(AY84))</f>
        <v>0.80169122807017534</v>
      </c>
    </row>
    <row r="85" spans="1:54" x14ac:dyDescent="0.25">
      <c r="A85" s="3" t="s">
        <v>94</v>
      </c>
      <c r="B85" s="5">
        <f>208.4</f>
        <v>208.4</v>
      </c>
      <c r="C85" s="5">
        <f>83.33</f>
        <v>83.33</v>
      </c>
      <c r="D85" s="5">
        <f t="shared" si="84"/>
        <v>125.07000000000001</v>
      </c>
      <c r="E85" s="6">
        <f t="shared" si="85"/>
        <v>2.5009000360014402</v>
      </c>
      <c r="F85" s="5">
        <f>138</f>
        <v>138</v>
      </c>
      <c r="G85" s="5">
        <f>83.33</f>
        <v>83.33</v>
      </c>
      <c r="H85" s="5">
        <f t="shared" si="86"/>
        <v>54.67</v>
      </c>
      <c r="I85" s="6">
        <f t="shared" si="87"/>
        <v>1.6560662426497059</v>
      </c>
      <c r="J85" s="5">
        <f>25.75</f>
        <v>25.75</v>
      </c>
      <c r="K85" s="5">
        <f>83.33</f>
        <v>83.33</v>
      </c>
      <c r="L85" s="5">
        <f t="shared" si="88"/>
        <v>-57.58</v>
      </c>
      <c r="M85" s="6">
        <f t="shared" si="89"/>
        <v>0.30901236049441977</v>
      </c>
      <c r="N85" s="4"/>
      <c r="O85" s="5">
        <f>83.33</f>
        <v>83.33</v>
      </c>
      <c r="P85" s="5">
        <f t="shared" si="90"/>
        <v>-83.33</v>
      </c>
      <c r="Q85" s="6">
        <f t="shared" si="91"/>
        <v>0</v>
      </c>
      <c r="R85" s="5">
        <f>76.39</f>
        <v>76.39</v>
      </c>
      <c r="S85" s="5">
        <f>83.33</f>
        <v>83.33</v>
      </c>
      <c r="T85" s="5">
        <f t="shared" si="92"/>
        <v>-6.9399999999999977</v>
      </c>
      <c r="U85" s="6">
        <f t="shared" si="93"/>
        <v>0.91671666866674673</v>
      </c>
      <c r="V85" s="4"/>
      <c r="W85" s="5">
        <f>83.33</f>
        <v>83.33</v>
      </c>
      <c r="X85" s="5">
        <f t="shared" si="94"/>
        <v>-83.33</v>
      </c>
      <c r="Y85" s="6">
        <f t="shared" si="95"/>
        <v>0</v>
      </c>
      <c r="Z85" s="5">
        <f>290.8</f>
        <v>290.8</v>
      </c>
      <c r="AA85" s="5">
        <f>83.33</f>
        <v>83.33</v>
      </c>
      <c r="AB85" s="5">
        <f t="shared" si="96"/>
        <v>207.47000000000003</v>
      </c>
      <c r="AC85" s="6">
        <f t="shared" si="97"/>
        <v>3.4897395895835834</v>
      </c>
      <c r="AD85" s="4"/>
      <c r="AE85" s="5">
        <f>83.33</f>
        <v>83.33</v>
      </c>
      <c r="AF85" s="5">
        <f t="shared" si="98"/>
        <v>-83.33</v>
      </c>
      <c r="AG85" s="6">
        <f t="shared" si="99"/>
        <v>0</v>
      </c>
      <c r="AH85" s="5">
        <f>176.94</f>
        <v>176.94</v>
      </c>
      <c r="AI85" s="5">
        <f>83.33</f>
        <v>83.33</v>
      </c>
      <c r="AJ85" s="5">
        <f t="shared" si="100"/>
        <v>93.61</v>
      </c>
      <c r="AK85" s="6">
        <f t="shared" si="101"/>
        <v>2.123364934597384</v>
      </c>
      <c r="AL85" s="4"/>
      <c r="AM85" s="5">
        <f>83.33</f>
        <v>83.33</v>
      </c>
      <c r="AN85" s="5">
        <f t="shared" si="102"/>
        <v>-83.33</v>
      </c>
      <c r="AO85" s="6">
        <f t="shared" si="103"/>
        <v>0</v>
      </c>
      <c r="AP85" s="4"/>
      <c r="AQ85" s="5">
        <f>83.33</f>
        <v>83.33</v>
      </c>
      <c r="AR85" s="5">
        <f t="shared" si="104"/>
        <v>-83.33</v>
      </c>
      <c r="AS85" s="6">
        <f t="shared" si="105"/>
        <v>0</v>
      </c>
      <c r="AT85" s="4"/>
      <c r="AU85" s="5">
        <f>83.37</f>
        <v>83.37</v>
      </c>
      <c r="AV85" s="5">
        <f t="shared" si="106"/>
        <v>-83.37</v>
      </c>
      <c r="AW85" s="6">
        <f t="shared" si="107"/>
        <v>0</v>
      </c>
      <c r="AX85" s="20">
        <f t="shared" si="108"/>
        <v>916.28</v>
      </c>
      <c r="AY85" s="5">
        <f t="shared" si="109"/>
        <v>1000.0000000000001</v>
      </c>
      <c r="AZ85" s="5">
        <f t="shared" si="110"/>
        <v>-83.720000000000141</v>
      </c>
      <c r="BA85" s="14">
        <f t="shared" si="111"/>
        <v>0.91627999999999987</v>
      </c>
    </row>
    <row r="86" spans="1:54" x14ac:dyDescent="0.25">
      <c r="A86" s="3" t="s">
        <v>95</v>
      </c>
      <c r="B86" s="4"/>
      <c r="C86" s="5">
        <f>10.42</f>
        <v>10.42</v>
      </c>
      <c r="D86" s="5">
        <f t="shared" si="84"/>
        <v>-10.42</v>
      </c>
      <c r="E86" s="6">
        <f t="shared" si="85"/>
        <v>0</v>
      </c>
      <c r="F86" s="4"/>
      <c r="G86" s="5">
        <f>10.42</f>
        <v>10.42</v>
      </c>
      <c r="H86" s="5">
        <f t="shared" si="86"/>
        <v>-10.42</v>
      </c>
      <c r="I86" s="6">
        <f t="shared" si="87"/>
        <v>0</v>
      </c>
      <c r="J86" s="4"/>
      <c r="K86" s="5">
        <f>10.42</f>
        <v>10.42</v>
      </c>
      <c r="L86" s="5">
        <f t="shared" si="88"/>
        <v>-10.42</v>
      </c>
      <c r="M86" s="6">
        <f t="shared" si="89"/>
        <v>0</v>
      </c>
      <c r="N86" s="4"/>
      <c r="O86" s="5">
        <f>10.42</f>
        <v>10.42</v>
      </c>
      <c r="P86" s="5">
        <f t="shared" si="90"/>
        <v>-10.42</v>
      </c>
      <c r="Q86" s="6">
        <f t="shared" si="91"/>
        <v>0</v>
      </c>
      <c r="R86" s="4"/>
      <c r="S86" s="5">
        <f>10.42</f>
        <v>10.42</v>
      </c>
      <c r="T86" s="5">
        <f t="shared" si="92"/>
        <v>-10.42</v>
      </c>
      <c r="U86" s="6">
        <f t="shared" si="93"/>
        <v>0</v>
      </c>
      <c r="V86" s="4"/>
      <c r="W86" s="5">
        <f>10.42</f>
        <v>10.42</v>
      </c>
      <c r="X86" s="5">
        <f t="shared" si="94"/>
        <v>-10.42</v>
      </c>
      <c r="Y86" s="6">
        <f t="shared" si="95"/>
        <v>0</v>
      </c>
      <c r="Z86" s="4"/>
      <c r="AA86" s="5">
        <f>10.42</f>
        <v>10.42</v>
      </c>
      <c r="AB86" s="5">
        <f t="shared" si="96"/>
        <v>-10.42</v>
      </c>
      <c r="AC86" s="6">
        <f t="shared" si="97"/>
        <v>0</v>
      </c>
      <c r="AD86" s="4"/>
      <c r="AE86" s="5">
        <f>10.42</f>
        <v>10.42</v>
      </c>
      <c r="AF86" s="5">
        <f t="shared" si="98"/>
        <v>-10.42</v>
      </c>
      <c r="AG86" s="6">
        <f t="shared" si="99"/>
        <v>0</v>
      </c>
      <c r="AH86" s="4"/>
      <c r="AI86" s="5">
        <f>10.42</f>
        <v>10.42</v>
      </c>
      <c r="AJ86" s="5">
        <f t="shared" si="100"/>
        <v>-10.42</v>
      </c>
      <c r="AK86" s="6">
        <f t="shared" si="101"/>
        <v>0</v>
      </c>
      <c r="AL86" s="4"/>
      <c r="AM86" s="5">
        <f>10.42</f>
        <v>10.42</v>
      </c>
      <c r="AN86" s="5">
        <f t="shared" si="102"/>
        <v>-10.42</v>
      </c>
      <c r="AO86" s="6">
        <f t="shared" si="103"/>
        <v>0</v>
      </c>
      <c r="AP86" s="4"/>
      <c r="AQ86" s="5">
        <f>10.42</f>
        <v>10.42</v>
      </c>
      <c r="AR86" s="5">
        <f t="shared" si="104"/>
        <v>-10.42</v>
      </c>
      <c r="AS86" s="6">
        <f t="shared" si="105"/>
        <v>0</v>
      </c>
      <c r="AT86" s="4"/>
      <c r="AU86" s="5">
        <f>10.38</f>
        <v>10.38</v>
      </c>
      <c r="AV86" s="5">
        <f t="shared" si="106"/>
        <v>-10.38</v>
      </c>
      <c r="AW86" s="6">
        <f t="shared" si="107"/>
        <v>0</v>
      </c>
      <c r="AX86" s="20">
        <f t="shared" si="108"/>
        <v>0</v>
      </c>
      <c r="AY86" s="5">
        <f t="shared" si="109"/>
        <v>125</v>
      </c>
      <c r="AZ86" s="5">
        <f t="shared" si="110"/>
        <v>-125</v>
      </c>
      <c r="BA86" s="14">
        <f t="shared" si="111"/>
        <v>0</v>
      </c>
    </row>
    <row r="87" spans="1:54" x14ac:dyDescent="0.25">
      <c r="A87" s="3" t="s">
        <v>96</v>
      </c>
      <c r="B87" s="5">
        <f>1111.25</f>
        <v>1111.25</v>
      </c>
      <c r="C87" s="5">
        <f>1111.17</f>
        <v>1111.17</v>
      </c>
      <c r="D87" s="5">
        <f t="shared" si="84"/>
        <v>7.999999999992724E-2</v>
      </c>
      <c r="E87" s="6">
        <f t="shared" si="85"/>
        <v>1.0000719961842022</v>
      </c>
      <c r="F87" s="5">
        <f>1111.25</f>
        <v>1111.25</v>
      </c>
      <c r="G87" s="5">
        <f>1111.17</f>
        <v>1111.17</v>
      </c>
      <c r="H87" s="5">
        <f t="shared" si="86"/>
        <v>7.999999999992724E-2</v>
      </c>
      <c r="I87" s="6">
        <f t="shared" si="87"/>
        <v>1.0000719961842022</v>
      </c>
      <c r="J87" s="5">
        <f>1111.25</f>
        <v>1111.25</v>
      </c>
      <c r="K87" s="5">
        <f>1111.17</f>
        <v>1111.17</v>
      </c>
      <c r="L87" s="5">
        <f t="shared" si="88"/>
        <v>7.999999999992724E-2</v>
      </c>
      <c r="M87" s="6">
        <f t="shared" si="89"/>
        <v>1.0000719961842022</v>
      </c>
      <c r="N87" s="5">
        <f>1111.25</f>
        <v>1111.25</v>
      </c>
      <c r="O87" s="5">
        <f>1111.17</f>
        <v>1111.17</v>
      </c>
      <c r="P87" s="5">
        <f t="shared" si="90"/>
        <v>7.999999999992724E-2</v>
      </c>
      <c r="Q87" s="6">
        <f t="shared" si="91"/>
        <v>1.0000719961842022</v>
      </c>
      <c r="R87" s="5">
        <f>1111.25</f>
        <v>1111.25</v>
      </c>
      <c r="S87" s="5">
        <f>1111.17</f>
        <v>1111.17</v>
      </c>
      <c r="T87" s="5">
        <f t="shared" si="92"/>
        <v>7.999999999992724E-2</v>
      </c>
      <c r="U87" s="6">
        <f t="shared" si="93"/>
        <v>1.0000719961842022</v>
      </c>
      <c r="V87" s="5">
        <f>1111.25</f>
        <v>1111.25</v>
      </c>
      <c r="W87" s="5">
        <f>1111.17</f>
        <v>1111.17</v>
      </c>
      <c r="X87" s="5">
        <f t="shared" si="94"/>
        <v>7.999999999992724E-2</v>
      </c>
      <c r="Y87" s="6">
        <f t="shared" si="95"/>
        <v>1.0000719961842022</v>
      </c>
      <c r="Z87" s="5">
        <f>1111.25</f>
        <v>1111.25</v>
      </c>
      <c r="AA87" s="5">
        <f>1111.17</f>
        <v>1111.17</v>
      </c>
      <c r="AB87" s="5">
        <f t="shared" si="96"/>
        <v>7.999999999992724E-2</v>
      </c>
      <c r="AC87" s="6">
        <f t="shared" si="97"/>
        <v>1.0000719961842022</v>
      </c>
      <c r="AD87" s="5">
        <f>1111.25</f>
        <v>1111.25</v>
      </c>
      <c r="AE87" s="5">
        <f>1111.17</f>
        <v>1111.17</v>
      </c>
      <c r="AF87" s="5">
        <f t="shared" si="98"/>
        <v>7.999999999992724E-2</v>
      </c>
      <c r="AG87" s="6">
        <f t="shared" si="99"/>
        <v>1.0000719961842022</v>
      </c>
      <c r="AH87" s="5">
        <f>1111.25</f>
        <v>1111.25</v>
      </c>
      <c r="AI87" s="5">
        <f>1111.17</f>
        <v>1111.17</v>
      </c>
      <c r="AJ87" s="5">
        <f t="shared" si="100"/>
        <v>7.999999999992724E-2</v>
      </c>
      <c r="AK87" s="6">
        <f t="shared" si="101"/>
        <v>1.0000719961842022</v>
      </c>
      <c r="AL87" s="5">
        <f>1111.25</f>
        <v>1111.25</v>
      </c>
      <c r="AM87" s="5">
        <f>1111.17</f>
        <v>1111.17</v>
      </c>
      <c r="AN87" s="5">
        <f t="shared" si="102"/>
        <v>7.999999999992724E-2</v>
      </c>
      <c r="AO87" s="6">
        <f t="shared" si="103"/>
        <v>1.0000719961842022</v>
      </c>
      <c r="AP87" s="5"/>
      <c r="AQ87" s="5">
        <f>1111.17</f>
        <v>1111.17</v>
      </c>
      <c r="AR87" s="5">
        <f t="shared" si="104"/>
        <v>-1111.17</v>
      </c>
      <c r="AS87" s="6">
        <f t="shared" si="105"/>
        <v>0</v>
      </c>
      <c r="AT87" s="4"/>
      <c r="AU87" s="5">
        <f>1111.13</f>
        <v>1111.1300000000001</v>
      </c>
      <c r="AV87" s="5">
        <f t="shared" si="106"/>
        <v>-1111.1300000000001</v>
      </c>
      <c r="AW87" s="6">
        <f t="shared" si="107"/>
        <v>0</v>
      </c>
      <c r="AX87" s="20">
        <f t="shared" si="108"/>
        <v>11112.5</v>
      </c>
      <c r="AY87" s="5">
        <f t="shared" si="109"/>
        <v>13334</v>
      </c>
      <c r="AZ87" s="5">
        <f t="shared" si="110"/>
        <v>-2221.5</v>
      </c>
      <c r="BA87" s="14">
        <f t="shared" si="111"/>
        <v>0.83339583020848962</v>
      </c>
    </row>
    <row r="88" spans="1:54" hidden="1" x14ac:dyDescent="0.25">
      <c r="A88" s="3"/>
      <c r="B88" s="5"/>
      <c r="C88" s="4"/>
      <c r="D88" s="5"/>
      <c r="E88" s="6"/>
      <c r="F88" s="5"/>
      <c r="G88" s="4"/>
      <c r="H88" s="5"/>
      <c r="I88" s="6"/>
      <c r="J88" s="5"/>
      <c r="K88" s="4"/>
      <c r="L88" s="5"/>
      <c r="M88" s="6"/>
      <c r="N88" s="5"/>
      <c r="O88" s="4"/>
      <c r="P88" s="5"/>
      <c r="Q88" s="6"/>
      <c r="R88" s="5"/>
      <c r="S88" s="4"/>
      <c r="T88" s="5"/>
      <c r="U88" s="6"/>
      <c r="V88" s="5"/>
      <c r="W88" s="4"/>
      <c r="X88" s="5"/>
      <c r="Y88" s="6"/>
      <c r="Z88" s="5"/>
      <c r="AA88" s="4"/>
      <c r="AB88" s="5"/>
      <c r="AC88" s="6"/>
      <c r="AD88" s="5"/>
      <c r="AE88" s="4"/>
      <c r="AF88" s="5"/>
      <c r="AG88" s="6"/>
      <c r="AH88" s="5"/>
      <c r="AI88" s="4"/>
      <c r="AJ88" s="5"/>
      <c r="AK88" s="6"/>
      <c r="AL88" s="5"/>
      <c r="AM88" s="4"/>
      <c r="AN88" s="5"/>
      <c r="AO88" s="6"/>
      <c r="AP88" s="5"/>
      <c r="AQ88" s="4"/>
      <c r="AR88" s="5"/>
      <c r="AS88" s="6"/>
      <c r="AT88" s="4"/>
      <c r="AU88" s="4"/>
      <c r="AV88" s="5"/>
      <c r="AW88" s="6"/>
      <c r="AX88" s="20"/>
      <c r="AY88" s="5"/>
      <c r="AZ88" s="5"/>
      <c r="BA88" s="14"/>
    </row>
    <row r="89" spans="1:54" x14ac:dyDescent="0.25">
      <c r="A89" s="3" t="s">
        <v>97</v>
      </c>
      <c r="B89" s="4"/>
      <c r="C89" s="4"/>
      <c r="D89" s="5">
        <f t="shared" si="84"/>
        <v>0</v>
      </c>
      <c r="E89" s="6" t="str">
        <f t="shared" si="85"/>
        <v/>
      </c>
      <c r="F89" s="4"/>
      <c r="G89" s="4"/>
      <c r="H89" s="5">
        <f t="shared" si="86"/>
        <v>0</v>
      </c>
      <c r="I89" s="6" t="str">
        <f t="shared" si="87"/>
        <v/>
      </c>
      <c r="J89" s="4"/>
      <c r="K89" s="4"/>
      <c r="L89" s="5">
        <f t="shared" si="88"/>
        <v>0</v>
      </c>
      <c r="M89" s="6" t="str">
        <f t="shared" si="89"/>
        <v/>
      </c>
      <c r="N89" s="4"/>
      <c r="O89" s="4"/>
      <c r="P89" s="5">
        <f t="shared" si="90"/>
        <v>0</v>
      </c>
      <c r="Q89" s="6" t="str">
        <f t="shared" si="91"/>
        <v/>
      </c>
      <c r="R89" s="4"/>
      <c r="S89" s="4"/>
      <c r="T89" s="5">
        <f t="shared" si="92"/>
        <v>0</v>
      </c>
      <c r="U89" s="6" t="str">
        <f t="shared" si="93"/>
        <v/>
      </c>
      <c r="V89" s="4"/>
      <c r="W89" s="4"/>
      <c r="X89" s="5">
        <f t="shared" si="94"/>
        <v>0</v>
      </c>
      <c r="Y89" s="6" t="str">
        <f t="shared" si="95"/>
        <v/>
      </c>
      <c r="Z89" s="4"/>
      <c r="AA89" s="4"/>
      <c r="AB89" s="5">
        <f t="shared" si="96"/>
        <v>0</v>
      </c>
      <c r="AC89" s="6" t="str">
        <f t="shared" si="97"/>
        <v/>
      </c>
      <c r="AD89" s="4"/>
      <c r="AE89" s="4"/>
      <c r="AF89" s="5">
        <f t="shared" si="98"/>
        <v>0</v>
      </c>
      <c r="AG89" s="6" t="str">
        <f t="shared" si="99"/>
        <v/>
      </c>
      <c r="AH89" s="4"/>
      <c r="AI89" s="4"/>
      <c r="AJ89" s="5">
        <f t="shared" si="100"/>
        <v>0</v>
      </c>
      <c r="AK89" s="6" t="str">
        <f t="shared" si="101"/>
        <v/>
      </c>
      <c r="AL89" s="4"/>
      <c r="AM89" s="4"/>
      <c r="AN89" s="5">
        <f t="shared" si="102"/>
        <v>0</v>
      </c>
      <c r="AO89" s="6" t="str">
        <f t="shared" si="103"/>
        <v/>
      </c>
      <c r="AP89" s="4"/>
      <c r="AQ89" s="4"/>
      <c r="AR89" s="5">
        <f t="shared" si="104"/>
        <v>0</v>
      </c>
      <c r="AS89" s="6" t="str">
        <f t="shared" si="105"/>
        <v/>
      </c>
      <c r="AT89" s="4"/>
      <c r="AU89" s="4"/>
      <c r="AV89" s="5">
        <f t="shared" si="106"/>
        <v>0</v>
      </c>
      <c r="AW89" s="6" t="str">
        <f t="shared" si="107"/>
        <v/>
      </c>
      <c r="AX89" s="20">
        <f t="shared" si="108"/>
        <v>0</v>
      </c>
      <c r="AY89" s="5">
        <f t="shared" si="109"/>
        <v>0</v>
      </c>
      <c r="AZ89" s="5">
        <f t="shared" si="110"/>
        <v>0</v>
      </c>
      <c r="BA89" s="14" t="str">
        <f t="shared" si="111"/>
        <v/>
      </c>
    </row>
    <row r="90" spans="1:54" x14ac:dyDescent="0.25">
      <c r="A90" s="3" t="s">
        <v>98</v>
      </c>
      <c r="B90" s="5">
        <f>2423.92</f>
        <v>2423.92</v>
      </c>
      <c r="C90" s="5">
        <f>2423.92</f>
        <v>2423.92</v>
      </c>
      <c r="D90" s="5">
        <f t="shared" si="84"/>
        <v>0</v>
      </c>
      <c r="E90" s="6">
        <f t="shared" si="85"/>
        <v>1</v>
      </c>
      <c r="F90" s="5">
        <f>2423.92</f>
        <v>2423.92</v>
      </c>
      <c r="G90" s="5">
        <f>2423.92</f>
        <v>2423.92</v>
      </c>
      <c r="H90" s="5">
        <f t="shared" si="86"/>
        <v>0</v>
      </c>
      <c r="I90" s="6">
        <f t="shared" si="87"/>
        <v>1</v>
      </c>
      <c r="J90" s="5">
        <f>2423.92</f>
        <v>2423.92</v>
      </c>
      <c r="K90" s="5">
        <f>2423.92</f>
        <v>2423.92</v>
      </c>
      <c r="L90" s="5">
        <f t="shared" si="88"/>
        <v>0</v>
      </c>
      <c r="M90" s="6">
        <f t="shared" si="89"/>
        <v>1</v>
      </c>
      <c r="N90" s="5">
        <f>2423.92</f>
        <v>2423.92</v>
      </c>
      <c r="O90" s="5">
        <f>2423.92</f>
        <v>2423.92</v>
      </c>
      <c r="P90" s="5">
        <f t="shared" si="90"/>
        <v>0</v>
      </c>
      <c r="Q90" s="6">
        <f t="shared" si="91"/>
        <v>1</v>
      </c>
      <c r="R90" s="5">
        <f>2423.92</f>
        <v>2423.92</v>
      </c>
      <c r="S90" s="5">
        <f>2423.92</f>
        <v>2423.92</v>
      </c>
      <c r="T90" s="5">
        <f t="shared" si="92"/>
        <v>0</v>
      </c>
      <c r="U90" s="6">
        <f t="shared" si="93"/>
        <v>1</v>
      </c>
      <c r="V90" s="5">
        <f>2423.92</f>
        <v>2423.92</v>
      </c>
      <c r="W90" s="5">
        <f>2423.92</f>
        <v>2423.92</v>
      </c>
      <c r="X90" s="5">
        <f t="shared" si="94"/>
        <v>0</v>
      </c>
      <c r="Y90" s="6">
        <f t="shared" si="95"/>
        <v>1</v>
      </c>
      <c r="Z90" s="5">
        <f>2423.92</f>
        <v>2423.92</v>
      </c>
      <c r="AA90" s="5">
        <f>2423.92</f>
        <v>2423.92</v>
      </c>
      <c r="AB90" s="5">
        <f t="shared" si="96"/>
        <v>0</v>
      </c>
      <c r="AC90" s="6">
        <f t="shared" si="97"/>
        <v>1</v>
      </c>
      <c r="AD90" s="5">
        <f>2423.92</f>
        <v>2423.92</v>
      </c>
      <c r="AE90" s="5">
        <f>2423.92</f>
        <v>2423.92</v>
      </c>
      <c r="AF90" s="5">
        <f t="shared" si="98"/>
        <v>0</v>
      </c>
      <c r="AG90" s="6">
        <f t="shared" si="99"/>
        <v>1</v>
      </c>
      <c r="AH90" s="5">
        <f>2423.92</f>
        <v>2423.92</v>
      </c>
      <c r="AI90" s="5">
        <f>2423.92</f>
        <v>2423.92</v>
      </c>
      <c r="AJ90" s="5">
        <f t="shared" si="100"/>
        <v>0</v>
      </c>
      <c r="AK90" s="6">
        <f t="shared" si="101"/>
        <v>1</v>
      </c>
      <c r="AL90" s="5">
        <f>2423.92</f>
        <v>2423.92</v>
      </c>
      <c r="AM90" s="5">
        <f>2423.92</f>
        <v>2423.92</v>
      </c>
      <c r="AN90" s="5">
        <f t="shared" si="102"/>
        <v>0</v>
      </c>
      <c r="AO90" s="6">
        <f t="shared" si="103"/>
        <v>1</v>
      </c>
      <c r="AP90" s="4"/>
      <c r="AQ90" s="5">
        <f>2423.92</f>
        <v>2423.92</v>
      </c>
      <c r="AR90" s="5">
        <f t="shared" si="104"/>
        <v>-2423.92</v>
      </c>
      <c r="AS90" s="6">
        <f t="shared" si="105"/>
        <v>0</v>
      </c>
      <c r="AT90" s="4"/>
      <c r="AU90" s="5">
        <f>2423.88</f>
        <v>2423.88</v>
      </c>
      <c r="AV90" s="5">
        <f t="shared" si="106"/>
        <v>-2423.88</v>
      </c>
      <c r="AW90" s="6">
        <f t="shared" si="107"/>
        <v>0</v>
      </c>
      <c r="AX90" s="20">
        <f t="shared" si="108"/>
        <v>24239.199999999997</v>
      </c>
      <c r="AY90" s="5">
        <f t="shared" si="109"/>
        <v>29086.999999999996</v>
      </c>
      <c r="AZ90" s="5">
        <f t="shared" si="110"/>
        <v>-4847.7999999999993</v>
      </c>
      <c r="BA90" s="14">
        <f t="shared" si="111"/>
        <v>0.83333447932065874</v>
      </c>
    </row>
    <row r="91" spans="1:54" x14ac:dyDescent="0.25">
      <c r="A91" s="3" t="s">
        <v>99</v>
      </c>
      <c r="B91" s="4"/>
      <c r="C91" s="5">
        <f>0</f>
        <v>0</v>
      </c>
      <c r="D91" s="5">
        <f t="shared" si="84"/>
        <v>0</v>
      </c>
      <c r="E91" s="6" t="str">
        <f t="shared" si="85"/>
        <v/>
      </c>
      <c r="F91" s="4"/>
      <c r="G91" s="5">
        <f>0</f>
        <v>0</v>
      </c>
      <c r="H91" s="5">
        <f t="shared" si="86"/>
        <v>0</v>
      </c>
      <c r="I91" s="6" t="str">
        <f t="shared" si="87"/>
        <v/>
      </c>
      <c r="J91" s="4"/>
      <c r="K91" s="5">
        <f>0</f>
        <v>0</v>
      </c>
      <c r="L91" s="5">
        <f t="shared" si="88"/>
        <v>0</v>
      </c>
      <c r="M91" s="6" t="str">
        <f t="shared" si="89"/>
        <v/>
      </c>
      <c r="N91" s="4"/>
      <c r="O91" s="5">
        <f>0</f>
        <v>0</v>
      </c>
      <c r="P91" s="5">
        <f t="shared" si="90"/>
        <v>0</v>
      </c>
      <c r="Q91" s="6" t="str">
        <f t="shared" si="91"/>
        <v/>
      </c>
      <c r="R91" s="4"/>
      <c r="S91" s="5">
        <f>0</f>
        <v>0</v>
      </c>
      <c r="T91" s="5">
        <f t="shared" si="92"/>
        <v>0</v>
      </c>
      <c r="U91" s="6" t="str">
        <f t="shared" si="93"/>
        <v/>
      </c>
      <c r="V91" s="4"/>
      <c r="W91" s="5">
        <f>0</f>
        <v>0</v>
      </c>
      <c r="X91" s="5">
        <f t="shared" si="94"/>
        <v>0</v>
      </c>
      <c r="Y91" s="6" t="str">
        <f t="shared" si="95"/>
        <v/>
      </c>
      <c r="Z91" s="4"/>
      <c r="AA91" s="5">
        <f>0</f>
        <v>0</v>
      </c>
      <c r="AB91" s="5">
        <f t="shared" si="96"/>
        <v>0</v>
      </c>
      <c r="AC91" s="6" t="str">
        <f t="shared" si="97"/>
        <v/>
      </c>
      <c r="AD91" s="4"/>
      <c r="AE91" s="5">
        <f>0</f>
        <v>0</v>
      </c>
      <c r="AF91" s="5">
        <f t="shared" si="98"/>
        <v>0</v>
      </c>
      <c r="AG91" s="6" t="str">
        <f t="shared" si="99"/>
        <v/>
      </c>
      <c r="AH91" s="4"/>
      <c r="AI91" s="5">
        <f>0</f>
        <v>0</v>
      </c>
      <c r="AJ91" s="5">
        <f t="shared" si="100"/>
        <v>0</v>
      </c>
      <c r="AK91" s="6" t="str">
        <f t="shared" si="101"/>
        <v/>
      </c>
      <c r="AL91" s="4"/>
      <c r="AM91" s="5">
        <f>0</f>
        <v>0</v>
      </c>
      <c r="AN91" s="5">
        <f t="shared" si="102"/>
        <v>0</v>
      </c>
      <c r="AO91" s="6" t="str">
        <f t="shared" si="103"/>
        <v/>
      </c>
      <c r="AP91" s="4"/>
      <c r="AQ91" s="5">
        <f>0</f>
        <v>0</v>
      </c>
      <c r="AR91" s="5">
        <f t="shared" si="104"/>
        <v>0</v>
      </c>
      <c r="AS91" s="6" t="str">
        <f t="shared" si="105"/>
        <v/>
      </c>
      <c r="AT91" s="4"/>
      <c r="AU91" s="5">
        <f>0</f>
        <v>0</v>
      </c>
      <c r="AV91" s="5">
        <f t="shared" si="106"/>
        <v>0</v>
      </c>
      <c r="AW91" s="6" t="str">
        <f t="shared" si="107"/>
        <v/>
      </c>
      <c r="AX91" s="20">
        <f t="shared" si="108"/>
        <v>0</v>
      </c>
      <c r="AY91" s="5">
        <f t="shared" si="109"/>
        <v>0</v>
      </c>
      <c r="AZ91" s="5">
        <f t="shared" si="110"/>
        <v>0</v>
      </c>
      <c r="BA91" s="14" t="str">
        <f t="shared" si="111"/>
        <v/>
      </c>
    </row>
    <row r="92" spans="1:54" x14ac:dyDescent="0.25">
      <c r="A92" s="3" t="s">
        <v>100</v>
      </c>
      <c r="B92" s="7">
        <f>((B89)+(B90))+(B91)</f>
        <v>2423.92</v>
      </c>
      <c r="C92" s="7">
        <f>((C89)+(C90))+(C91)</f>
        <v>2423.92</v>
      </c>
      <c r="D92" s="7">
        <f t="shared" si="84"/>
        <v>0</v>
      </c>
      <c r="E92" s="8">
        <f t="shared" si="85"/>
        <v>1</v>
      </c>
      <c r="F92" s="7">
        <f>((F89)+(F90))+(F91)</f>
        <v>2423.92</v>
      </c>
      <c r="G92" s="7">
        <f>((G89)+(G90))+(G91)</f>
        <v>2423.92</v>
      </c>
      <c r="H92" s="7">
        <f t="shared" si="86"/>
        <v>0</v>
      </c>
      <c r="I92" s="8">
        <f t="shared" si="87"/>
        <v>1</v>
      </c>
      <c r="J92" s="7">
        <f>((J89)+(J90))+(J91)</f>
        <v>2423.92</v>
      </c>
      <c r="K92" s="7">
        <f>((K89)+(K90))+(K91)</f>
        <v>2423.92</v>
      </c>
      <c r="L92" s="7">
        <f t="shared" si="88"/>
        <v>0</v>
      </c>
      <c r="M92" s="8">
        <f t="shared" si="89"/>
        <v>1</v>
      </c>
      <c r="N92" s="7">
        <f>((N89)+(N90))+(N91)</f>
        <v>2423.92</v>
      </c>
      <c r="O92" s="7">
        <f>((O89)+(O90))+(O91)</f>
        <v>2423.92</v>
      </c>
      <c r="P92" s="7">
        <f t="shared" si="90"/>
        <v>0</v>
      </c>
      <c r="Q92" s="8">
        <f t="shared" si="91"/>
        <v>1</v>
      </c>
      <c r="R92" s="7">
        <f>((R89)+(R90))+(R91)</f>
        <v>2423.92</v>
      </c>
      <c r="S92" s="7">
        <f>((S89)+(S90))+(S91)</f>
        <v>2423.92</v>
      </c>
      <c r="T92" s="7">
        <f t="shared" si="92"/>
        <v>0</v>
      </c>
      <c r="U92" s="8">
        <f t="shared" si="93"/>
        <v>1</v>
      </c>
      <c r="V92" s="7">
        <f>((V89)+(V90))+(V91)</f>
        <v>2423.92</v>
      </c>
      <c r="W92" s="7">
        <f>((W89)+(W90))+(W91)</f>
        <v>2423.92</v>
      </c>
      <c r="X92" s="7">
        <f t="shared" si="94"/>
        <v>0</v>
      </c>
      <c r="Y92" s="8">
        <f t="shared" si="95"/>
        <v>1</v>
      </c>
      <c r="Z92" s="7">
        <f>((Z89)+(Z90))+(Z91)</f>
        <v>2423.92</v>
      </c>
      <c r="AA92" s="7">
        <f>((AA89)+(AA90))+(AA91)</f>
        <v>2423.92</v>
      </c>
      <c r="AB92" s="7">
        <f t="shared" si="96"/>
        <v>0</v>
      </c>
      <c r="AC92" s="8">
        <f t="shared" si="97"/>
        <v>1</v>
      </c>
      <c r="AD92" s="7">
        <f>((AD89)+(AD90))+(AD91)</f>
        <v>2423.92</v>
      </c>
      <c r="AE92" s="7">
        <f>((AE89)+(AE90))+(AE91)</f>
        <v>2423.92</v>
      </c>
      <c r="AF92" s="7">
        <f t="shared" si="98"/>
        <v>0</v>
      </c>
      <c r="AG92" s="8">
        <f t="shared" si="99"/>
        <v>1</v>
      </c>
      <c r="AH92" s="7">
        <f>((AH89)+(AH90))+(AH91)</f>
        <v>2423.92</v>
      </c>
      <c r="AI92" s="7">
        <f>((AI89)+(AI90))+(AI91)</f>
        <v>2423.92</v>
      </c>
      <c r="AJ92" s="7">
        <f t="shared" si="100"/>
        <v>0</v>
      </c>
      <c r="AK92" s="8">
        <f t="shared" si="101"/>
        <v>1</v>
      </c>
      <c r="AL92" s="7">
        <f>((AL89)+(AL90))+(AL91)</f>
        <v>2423.92</v>
      </c>
      <c r="AM92" s="7">
        <f>((AM89)+(AM90))+(AM91)</f>
        <v>2423.92</v>
      </c>
      <c r="AN92" s="7">
        <f t="shared" si="102"/>
        <v>0</v>
      </c>
      <c r="AO92" s="8">
        <f t="shared" si="103"/>
        <v>1</v>
      </c>
      <c r="AP92" s="7">
        <f>((AP89)+(AP90))+(AP91)</f>
        <v>0</v>
      </c>
      <c r="AQ92" s="7">
        <f>((AQ89)+(AQ90))+(AQ91)</f>
        <v>2423.92</v>
      </c>
      <c r="AR92" s="7">
        <f t="shared" si="104"/>
        <v>-2423.92</v>
      </c>
      <c r="AS92" s="8">
        <f t="shared" si="105"/>
        <v>0</v>
      </c>
      <c r="AT92" s="7">
        <f>((AT89)+(AT90))+(AT91)</f>
        <v>0</v>
      </c>
      <c r="AU92" s="7">
        <f>((AU89)+(AU90))+(AU91)</f>
        <v>2423.88</v>
      </c>
      <c r="AV92" s="7">
        <f t="shared" si="106"/>
        <v>-2423.88</v>
      </c>
      <c r="AW92" s="8">
        <f t="shared" si="107"/>
        <v>0</v>
      </c>
      <c r="AX92" s="21">
        <f t="shared" si="108"/>
        <v>24239.199999999997</v>
      </c>
      <c r="AY92" s="9">
        <f t="shared" si="109"/>
        <v>29086.999999999996</v>
      </c>
      <c r="AZ92" s="9">
        <f t="shared" si="110"/>
        <v>-4847.7999999999993</v>
      </c>
      <c r="BA92" s="15">
        <f t="shared" si="111"/>
        <v>0.83333447932065874</v>
      </c>
    </row>
    <row r="93" spans="1:54" x14ac:dyDescent="0.25">
      <c r="A93" s="3" t="s">
        <v>101</v>
      </c>
      <c r="B93" s="4"/>
      <c r="C93" s="4"/>
      <c r="D93" s="5">
        <f t="shared" si="84"/>
        <v>0</v>
      </c>
      <c r="E93" s="6" t="str">
        <f t="shared" si="85"/>
        <v/>
      </c>
      <c r="F93" s="4"/>
      <c r="G93" s="4"/>
      <c r="H93" s="5">
        <f t="shared" si="86"/>
        <v>0</v>
      </c>
      <c r="I93" s="6" t="str">
        <f t="shared" si="87"/>
        <v/>
      </c>
      <c r="J93" s="4"/>
      <c r="K93" s="4"/>
      <c r="L93" s="5">
        <f t="shared" si="88"/>
        <v>0</v>
      </c>
      <c r="M93" s="6" t="str">
        <f t="shared" si="89"/>
        <v/>
      </c>
      <c r="N93" s="4"/>
      <c r="O93" s="4"/>
      <c r="P93" s="5">
        <f t="shared" si="90"/>
        <v>0</v>
      </c>
      <c r="Q93" s="6" t="str">
        <f t="shared" si="91"/>
        <v/>
      </c>
      <c r="R93" s="4"/>
      <c r="S93" s="4"/>
      <c r="T93" s="5">
        <f t="shared" si="92"/>
        <v>0</v>
      </c>
      <c r="U93" s="6" t="str">
        <f t="shared" si="93"/>
        <v/>
      </c>
      <c r="V93" s="4"/>
      <c r="W93" s="4"/>
      <c r="X93" s="5">
        <f t="shared" si="94"/>
        <v>0</v>
      </c>
      <c r="Y93" s="6" t="str">
        <f t="shared" si="95"/>
        <v/>
      </c>
      <c r="Z93" s="4"/>
      <c r="AA93" s="4"/>
      <c r="AB93" s="5">
        <f t="shared" si="96"/>
        <v>0</v>
      </c>
      <c r="AC93" s="6" t="str">
        <f t="shared" si="97"/>
        <v/>
      </c>
      <c r="AD93" s="4"/>
      <c r="AE93" s="4"/>
      <c r="AF93" s="5">
        <f t="shared" si="98"/>
        <v>0</v>
      </c>
      <c r="AG93" s="6" t="str">
        <f t="shared" si="99"/>
        <v/>
      </c>
      <c r="AH93" s="4"/>
      <c r="AI93" s="4"/>
      <c r="AJ93" s="5">
        <f t="shared" si="100"/>
        <v>0</v>
      </c>
      <c r="AK93" s="6" t="str">
        <f t="shared" si="101"/>
        <v/>
      </c>
      <c r="AL93" s="5">
        <f>83.66</f>
        <v>83.66</v>
      </c>
      <c r="AM93" s="4"/>
      <c r="AN93" s="5">
        <f t="shared" si="102"/>
        <v>83.66</v>
      </c>
      <c r="AO93" s="6" t="str">
        <f t="shared" si="103"/>
        <v/>
      </c>
      <c r="AP93" s="4"/>
      <c r="AQ93" s="4"/>
      <c r="AR93" s="5">
        <f t="shared" si="104"/>
        <v>0</v>
      </c>
      <c r="AS93" s="6" t="str">
        <f t="shared" si="105"/>
        <v/>
      </c>
      <c r="AT93" s="4"/>
      <c r="AU93" s="4"/>
      <c r="AV93" s="5">
        <f t="shared" si="106"/>
        <v>0</v>
      </c>
      <c r="AW93" s="6" t="str">
        <f t="shared" si="107"/>
        <v/>
      </c>
      <c r="AX93" s="20">
        <f t="shared" si="108"/>
        <v>83.66</v>
      </c>
      <c r="AY93" s="5">
        <f t="shared" si="109"/>
        <v>0</v>
      </c>
      <c r="AZ93" s="5">
        <f t="shared" si="110"/>
        <v>83.66</v>
      </c>
      <c r="BA93" s="14" t="str">
        <f t="shared" si="111"/>
        <v/>
      </c>
    </row>
    <row r="94" spans="1:54" x14ac:dyDescent="0.25">
      <c r="A94" s="3" t="s">
        <v>102</v>
      </c>
      <c r="B94" s="7">
        <f>((((((((((((((((((((((((((((B24)+(B30))+(B33))+(B40))+(B47))+(B54))+(B55))+(B56))+(B57))+(B58))+(B59))+(B60))+(B61))+(B67))+(B68))+(B69))+(B70))+(B74))+(B75))+(B78))+(B79))+(B80))+(B84))+(B85))+(B86))+(B87))+(B88))+(B92))+(B93)</f>
        <v>25576.269999999997</v>
      </c>
      <c r="C94" s="7">
        <f>((((((((((((((((((((((((((((C24)+(C30))+(C33))+(C40))+(C47))+(C54))+(C55))+(C56))+(C57))+(C58))+(C59))+(C60))+(C61))+(C67))+(C68))+(C69))+(C70))+(C74))+(C75))+(C78))+(C79))+(C80))+(C84))+(C85))+(C86))+(C87))+(C88))+(C92))+(C93)</f>
        <v>28267.309999999998</v>
      </c>
      <c r="D94" s="7">
        <f t="shared" si="84"/>
        <v>-2691.0400000000009</v>
      </c>
      <c r="E94" s="8">
        <f t="shared" si="85"/>
        <v>0.90480027989929002</v>
      </c>
      <c r="F94" s="7">
        <f>((((((((((((((((((((((((((((F24)+(F30))+(F33))+(F40))+(F47))+(F54))+(F55))+(F56))+(F57))+(F58))+(F59))+(F60))+(F61))+(F67))+(F68))+(F69))+(F70))+(F74))+(F75))+(F78))+(F79))+(F80))+(F84))+(F85))+(F86))+(F87))+(F88))+(F92))+(F93)</f>
        <v>31171.980000000003</v>
      </c>
      <c r="G94" s="7">
        <f>((((((((((((((((((((((((((((G24)+(G30))+(G33))+(G40))+(G47))+(G54))+(G55))+(G56))+(G57))+(G58))+(G59))+(G60))+(G61))+(G67))+(G68))+(G69))+(G70))+(G74))+(G75))+(G78))+(G79))+(G80))+(G84))+(G85))+(G86))+(G87))+(G88))+(G92))+(G93)</f>
        <v>28267.309999999998</v>
      </c>
      <c r="H94" s="7">
        <f t="shared" si="86"/>
        <v>2904.6700000000055</v>
      </c>
      <c r="I94" s="8">
        <f t="shared" si="87"/>
        <v>1.1027572131907848</v>
      </c>
      <c r="J94" s="7">
        <f>((((((((((((((((((((((((((((J24)+(J30))+(J33))+(J40))+(J47))+(J54))+(J55))+(J56))+(J57))+(J58))+(J59))+(J60))+(J61))+(J67))+(J68))+(J69))+(J70))+(J74))+(J75))+(J78))+(J79))+(J80))+(J84))+(J85))+(J86))+(J87))+(J88))+(J92))+(J93)</f>
        <v>26238.770000000004</v>
      </c>
      <c r="K94" s="7">
        <f>((((((((((((((((((((((((((((K24)+(K30))+(K33))+(K40))+(K47))+(K54))+(K55))+(K56))+(K57))+(K58))+(K59))+(K60))+(K61))+(K67))+(K68))+(K69))+(K70))+(K74))+(K75))+(K78))+(K79))+(K80))+(K84))+(K85))+(K86))+(K87))+(K88))+(K92))+(K93)</f>
        <v>28267.309999999998</v>
      </c>
      <c r="L94" s="7">
        <f t="shared" si="88"/>
        <v>-2028.5399999999936</v>
      </c>
      <c r="M94" s="8">
        <f t="shared" si="89"/>
        <v>0.92823724648719697</v>
      </c>
      <c r="N94" s="7">
        <f>((((((((((((((((((((((((((((N24)+(N30))+(N33))+(N40))+(N47))+(N54))+(N55))+(N56))+(N57))+(N58))+(N59))+(N60))+(N61))+(N67))+(N68))+(N69))+(N70))+(N74))+(N75))+(N78))+(N79))+(N80))+(N84))+(N85))+(N86))+(N87))+(N88))+(N92))+(N93)</f>
        <v>24954.120000000003</v>
      </c>
      <c r="O94" s="7">
        <f>((((((((((((((((((((((((((((O24)+(O30))+(O33))+(O40))+(O47))+(O54))+(O55))+(O56))+(O57))+(O58))+(O59))+(O60))+(O61))+(O67))+(O68))+(O69))+(O70))+(O74))+(O75))+(O78))+(O79))+(O80))+(O84))+(O85))+(O86))+(O87))+(O88))+(O92))+(O93)</f>
        <v>28267.309999999998</v>
      </c>
      <c r="P94" s="7">
        <f t="shared" si="90"/>
        <v>-3313.1899999999951</v>
      </c>
      <c r="Q94" s="8">
        <f t="shared" si="91"/>
        <v>0.88279075723866207</v>
      </c>
      <c r="R94" s="7">
        <f>((((((((((((((((((((((((((((R24)+(R30))+(R33))+(R40))+(R47))+(R54))+(R55))+(R56))+(R57))+(R58))+(R59))+(R60))+(R61))+(R67))+(R68))+(R69))+(R70))+(R74))+(R75))+(R78))+(R79))+(R80))+(R84))+(R85))+(R86))+(R87))+(R88))+(R92))+(R93)</f>
        <v>25363.53</v>
      </c>
      <c r="S94" s="7">
        <f>((((((((((((((((((((((((((((S24)+(S30))+(S33))+(S40))+(S47))+(S54))+(S55))+(S56))+(S57))+(S58))+(S59))+(S60))+(S61))+(S67))+(S68))+(S69))+(S70))+(S74))+(S75))+(S78))+(S79))+(S80))+(S84))+(S85))+(S86))+(S87))+(S88))+(S92))+(S93)</f>
        <v>28267.309999999998</v>
      </c>
      <c r="T94" s="7">
        <f t="shared" si="92"/>
        <v>-2903.7799999999988</v>
      </c>
      <c r="U94" s="8">
        <f t="shared" si="93"/>
        <v>0.89727427194168818</v>
      </c>
      <c r="V94" s="7">
        <f>((((((((((((((((((((((((((((V24)+(V30))+(V33))+(V40))+(V47))+(V54))+(V55))+(V56))+(V57))+(V58))+(V59))+(V60))+(V61))+(V67))+(V68))+(V69))+(V70))+(V74))+(V75))+(V78))+(V79))+(V80))+(V84))+(V85))+(V86))+(V87))+(V88))+(V92))+(V93)</f>
        <v>42773.770000000004</v>
      </c>
      <c r="W94" s="7">
        <f>((((((((((((((((((((((((((((W24)+(W30))+(W33))+(W40))+(W47))+(W54))+(W55))+(W56))+(W57))+(W58))+(W59))+(W60))+(W61))+(W67))+(W68))+(W69))+(W70))+(W74))+(W75))+(W78))+(W79))+(W80))+(W84))+(W85))+(W86))+(W87))+(W88))+(W92))+(W93)</f>
        <v>28267.309999999998</v>
      </c>
      <c r="X94" s="7">
        <f t="shared" si="94"/>
        <v>14506.460000000006</v>
      </c>
      <c r="Y94" s="8">
        <f t="shared" si="95"/>
        <v>1.5131885559680072</v>
      </c>
      <c r="Z94" s="7">
        <f>((((((((((((((((((((((((((((Z24)+(Z30))+(Z33))+(Z40))+(Z47))+(Z54))+(Z55))+(Z56))+(Z57))+(Z58))+(Z59))+(Z60))+(Z61))+(Z67))+(Z68))+(Z69))+(Z70))+(Z74))+(Z75))+(Z78))+(Z79))+(Z80))+(Z84))+(Z85))+(Z86))+(Z87))+(Z88))+(Z92))+(Z93)</f>
        <v>24993.79</v>
      </c>
      <c r="AA94" s="7">
        <f>((((((((((((((((((((((((((((AA24)+(AA30))+(AA33))+(AA40))+(AA47))+(AA54))+(AA55))+(AA56))+(AA57))+(AA58))+(AA59))+(AA60))+(AA61))+(AA67))+(AA68))+(AA69))+(AA70))+(AA74))+(AA75))+(AA78))+(AA79))+(AA80))+(AA84))+(AA85))+(AA86))+(AA87))+(AA88))+(AA92))+(AA93)</f>
        <v>28267.309999999998</v>
      </c>
      <c r="AB94" s="7">
        <f t="shared" si="96"/>
        <v>-3273.5199999999968</v>
      </c>
      <c r="AC94" s="8">
        <f t="shared" si="97"/>
        <v>0.88419414510966921</v>
      </c>
      <c r="AD94" s="7">
        <f>((((((((((((((((((((((((((((AD24)+(AD30))+(AD33))+(AD40))+(AD47))+(AD54))+(AD55))+(AD56))+(AD57))+(AD58))+(AD59))+(AD60))+(AD61))+(AD67))+(AD68))+(AD69))+(AD70))+(AD74))+(AD75))+(AD78))+(AD79))+(AD80))+(AD84))+(AD85))+(AD86))+(AD87))+(AD88))+(AD92))+(AD93)</f>
        <v>37216.589999999997</v>
      </c>
      <c r="AE94" s="7">
        <f>((((((((((((((((((((((((((((AE24)+(AE30))+(AE33))+(AE40))+(AE47))+(AE54))+(AE55))+(AE56))+(AE57))+(AE58))+(AE59))+(AE60))+(AE61))+(AE67))+(AE68))+(AE69))+(AE70))+(AE74))+(AE75))+(AE78))+(AE79))+(AE80))+(AE84))+(AE85))+(AE86))+(AE87))+(AE88))+(AE92))+(AE93)</f>
        <v>28267.309999999998</v>
      </c>
      <c r="AF94" s="7">
        <f t="shared" si="98"/>
        <v>8949.2799999999988</v>
      </c>
      <c r="AG94" s="8">
        <f t="shared" si="99"/>
        <v>1.3165946812767115</v>
      </c>
      <c r="AH94" s="7">
        <f>((((((((((((((((((((((((((((AH24)+(AH30))+(AH33))+(AH40))+(AH47))+(AH54))+(AH55))+(AH56))+(AH57))+(AH58))+(AH59))+(AH60))+(AH61))+(AH67))+(AH68))+(AH69))+(AH70))+(AH74))+(AH75))+(AH78))+(AH79))+(AH80))+(AH84))+(AH85))+(AH86))+(AH87))+(AH88))+(AH92))+(AH93)</f>
        <v>25926</v>
      </c>
      <c r="AI94" s="7">
        <f>((((((((((((((((((((((((((((AI24)+(AI30))+(AI33))+(AI40))+(AI47))+(AI54))+(AI55))+(AI56))+(AI57))+(AI58))+(AI59))+(AI60))+(AI61))+(AI67))+(AI68))+(AI69))+(AI70))+(AI74))+(AI75))+(AI78))+(AI79))+(AI80))+(AI84))+(AI85))+(AI86))+(AI87))+(AI88))+(AI92))+(AI93)</f>
        <v>28267.309999999998</v>
      </c>
      <c r="AJ94" s="7">
        <f t="shared" si="100"/>
        <v>-2341.3099999999977</v>
      </c>
      <c r="AK94" s="8">
        <f t="shared" si="101"/>
        <v>0.91717252189897103</v>
      </c>
      <c r="AL94" s="7">
        <f>((((((((((((((((((((((((((((AL24)+(AL30))+(AL33))+(AL40))+(AL47))+(AL54))+(AL55))+(AL56))+(AL57))+(AL58))+(AL59))+(AL60))+(AL61))+(AL67))+(AL68))+(AL69))+(AL70))+(AL74))+(AL75))+(AL78))+(AL79))+(AL80))+(AL84))+(AL85))+(AL86))+(AL87))+(AL88))+(AL92))+(AL93)</f>
        <v>24182.279999999995</v>
      </c>
      <c r="AM94" s="7">
        <f>((((((((((((((((((((((((((((AM24)+(AM30))+(AM33))+(AM40))+(AM47))+(AM54))+(AM55))+(AM56))+(AM57))+(AM58))+(AM59))+(AM60))+(AM61))+(AM67))+(AM68))+(AM69))+(AM70))+(AM74))+(AM75))+(AM78))+(AM79))+(AM80))+(AM84))+(AM85))+(AM86))+(AM87))+(AM88))+(AM92))+(AM93)</f>
        <v>28267.309999999998</v>
      </c>
      <c r="AN94" s="7">
        <f t="shared" si="102"/>
        <v>-4085.0300000000025</v>
      </c>
      <c r="AO94" s="8">
        <f t="shared" si="103"/>
        <v>0.8554857183085337</v>
      </c>
      <c r="AP94" s="7">
        <f>((((((((((((((((((((((((((((AP24)+(AP30))+(AP33))+(AP40))+(AP47))+(AP54))+(AP55))+(AP56))+(AP57))+(AP58))+(AP59))+(AP60))+(AP61))+(AP67))+(AP68))+(AP69))+(AP70))+(AP74))+(AP75))+(AP78))+(AP79))+(AP80))+(AP84))+(AP85))+(AP86))+(AP87))+(AP88))+(AP92))+(AP93)</f>
        <v>0</v>
      </c>
      <c r="AQ94" s="7">
        <f>((((((((((((((((((((((((((((AQ24)+(AQ30))+(AQ33))+(AQ40))+(AQ47))+(AQ54))+(AQ55))+(AQ56))+(AQ57))+(AQ58))+(AQ59))+(AQ60))+(AQ61))+(AQ67))+(AQ68))+(AQ69))+(AQ70))+(AQ74))+(AQ75))+(AQ78))+(AQ79))+(AQ80))+(AQ84))+(AQ85))+(AQ86))+(AQ87))+(AQ88))+(AQ92))+(AQ93)</f>
        <v>28267.309999999998</v>
      </c>
      <c r="AR94" s="7">
        <f t="shared" si="104"/>
        <v>-28267.309999999998</v>
      </c>
      <c r="AS94" s="8">
        <f t="shared" si="105"/>
        <v>0</v>
      </c>
      <c r="AT94" s="7">
        <f>((((((((((((((((((((((((((((AT24)+(AT30))+(AT33))+(AT40))+(AT47))+(AT54))+(AT55))+(AT56))+(AT57))+(AT58))+(AT59))+(AT60))+(AT61))+(AT67))+(AT68))+(AT69))+(AT70))+(AT74))+(AT75))+(AT78))+(AT79))+(AT80))+(AT84))+(AT85))+(AT86))+(AT87))+(AT88))+(AT92))+(AT93)</f>
        <v>0</v>
      </c>
      <c r="AU94" s="7">
        <f>((((((((((((((((((((((((((((AU24)+(AU30))+(AU33))+(AU40))+(AU47))+(AU54))+(AU55))+(AU56))+(AU57))+(AU58))+(AU59))+(AU60))+(AU61))+(AU67))+(AU68))+(AU69))+(AU70))+(AU74))+(AU75))+(AU78))+(AU79))+(AU80))+(AU84))+(AU85))+(AU86))+(AU87))+(AU88))+(AU92))+(AU93)</f>
        <v>28267.590000000004</v>
      </c>
      <c r="AV94" s="7">
        <f t="shared" si="106"/>
        <v>-28267.590000000004</v>
      </c>
      <c r="AW94" s="8">
        <f t="shared" si="107"/>
        <v>0</v>
      </c>
      <c r="AX94" s="21">
        <f t="shared" si="108"/>
        <v>288397.09999999998</v>
      </c>
      <c r="AY94" s="9">
        <f t="shared" si="109"/>
        <v>339208</v>
      </c>
      <c r="AZ94" s="9">
        <f t="shared" si="110"/>
        <v>-50810.900000000023</v>
      </c>
      <c r="BA94" s="15">
        <f t="shared" si="111"/>
        <v>0.85020724747057841</v>
      </c>
      <c r="BB94" s="24"/>
    </row>
    <row r="95" spans="1:54" x14ac:dyDescent="0.25">
      <c r="A95" s="3" t="s">
        <v>103</v>
      </c>
      <c r="B95" s="7">
        <f>(B18)-(B94)</f>
        <v>45208.810000000019</v>
      </c>
      <c r="C95" s="7">
        <f>(C18)-(C94)</f>
        <v>184.02999999999884</v>
      </c>
      <c r="D95" s="7">
        <f t="shared" si="84"/>
        <v>45024.780000000021</v>
      </c>
      <c r="E95" s="8">
        <f t="shared" si="85"/>
        <v>245.66000108678099</v>
      </c>
      <c r="F95" s="7">
        <f>(F18)-(F94)</f>
        <v>23688.029999999992</v>
      </c>
      <c r="G95" s="7">
        <f>(G18)-(G94)</f>
        <v>184.02999999999884</v>
      </c>
      <c r="H95" s="7">
        <f t="shared" si="86"/>
        <v>23503.999999999993</v>
      </c>
      <c r="I95" s="8">
        <f t="shared" si="87"/>
        <v>128.71830679780547</v>
      </c>
      <c r="J95" s="7">
        <f>(J18)-(J94)</f>
        <v>24965.349999999991</v>
      </c>
      <c r="K95" s="7">
        <f>(K18)-(K94)</f>
        <v>184.02999999999884</v>
      </c>
      <c r="L95" s="7">
        <f t="shared" si="88"/>
        <v>24781.319999999992</v>
      </c>
      <c r="M95" s="8">
        <f t="shared" si="89"/>
        <v>135.65913166331657</v>
      </c>
      <c r="N95" s="7">
        <f>(N18)-(N94)</f>
        <v>-1618.4700000000012</v>
      </c>
      <c r="O95" s="7">
        <f>(O18)-(O94)</f>
        <v>184.02999999999884</v>
      </c>
      <c r="P95" s="7">
        <f t="shared" si="90"/>
        <v>-1802.5</v>
      </c>
      <c r="Q95" s="8">
        <f t="shared" si="91"/>
        <v>-8.7945987067326605</v>
      </c>
      <c r="R95" s="7">
        <f>(R18)-(R94)</f>
        <v>-1184.2699999999968</v>
      </c>
      <c r="S95" s="7">
        <f>(S18)-(S94)</f>
        <v>184.02999999999884</v>
      </c>
      <c r="T95" s="7">
        <f t="shared" si="92"/>
        <v>-1368.2999999999956</v>
      </c>
      <c r="U95" s="8">
        <f t="shared" si="93"/>
        <v>-6.4352007824811404</v>
      </c>
      <c r="V95" s="7">
        <f>(V18)-(V94)</f>
        <v>10501.219999999994</v>
      </c>
      <c r="W95" s="7">
        <f>(W18)-(W94)</f>
        <v>184.02999999999884</v>
      </c>
      <c r="X95" s="7">
        <f t="shared" si="94"/>
        <v>10317.189999999995</v>
      </c>
      <c r="Y95" s="8">
        <f t="shared" si="95"/>
        <v>57.062544150410588</v>
      </c>
      <c r="Z95" s="7">
        <f>(Z18)-(Z94)</f>
        <v>6404.02</v>
      </c>
      <c r="AA95" s="7">
        <f>(AA18)-(AA94)</f>
        <v>184.02999999999884</v>
      </c>
      <c r="AB95" s="7">
        <f t="shared" si="96"/>
        <v>6219.9900000000016</v>
      </c>
      <c r="AC95" s="8">
        <f t="shared" si="97"/>
        <v>34.798782807151234</v>
      </c>
      <c r="AD95" s="7">
        <f>(AD18)-(AD94)</f>
        <v>-16807.049999999996</v>
      </c>
      <c r="AE95" s="7">
        <f>(AE18)-(AE94)</f>
        <v>184.02999999999884</v>
      </c>
      <c r="AF95" s="7">
        <f t="shared" si="98"/>
        <v>-16991.079999999994</v>
      </c>
      <c r="AG95" s="8">
        <f t="shared" si="99"/>
        <v>-91.327772645764838</v>
      </c>
      <c r="AH95" s="7">
        <f>(AH18)-(AH94)</f>
        <v>-7405.760000000002</v>
      </c>
      <c r="AI95" s="7">
        <f>(AI18)-(AI94)</f>
        <v>184.02999999999884</v>
      </c>
      <c r="AJ95" s="7">
        <f t="shared" si="100"/>
        <v>-7589.7900000000009</v>
      </c>
      <c r="AK95" s="8">
        <f t="shared" si="101"/>
        <v>-40.242134434603322</v>
      </c>
      <c r="AL95" s="7">
        <f>(AL18)-(AL94)</f>
        <v>12237.780000000002</v>
      </c>
      <c r="AM95" s="7">
        <f>(AM18)-(AM94)</f>
        <v>184.02999999999884</v>
      </c>
      <c r="AN95" s="7">
        <f t="shared" si="102"/>
        <v>12053.750000000004</v>
      </c>
      <c r="AO95" s="8">
        <f t="shared" si="103"/>
        <v>66.498831712221261</v>
      </c>
      <c r="AP95" s="7">
        <f>(AP18)-(AP94)</f>
        <v>0</v>
      </c>
      <c r="AQ95" s="7">
        <f>(AQ18)-(AQ94)</f>
        <v>184.02999999999884</v>
      </c>
      <c r="AR95" s="7">
        <f t="shared" si="104"/>
        <v>-184.02999999999884</v>
      </c>
      <c r="AS95" s="8">
        <f t="shared" si="105"/>
        <v>0</v>
      </c>
      <c r="AT95" s="7">
        <f>(AT18)-(AT94)</f>
        <v>0</v>
      </c>
      <c r="AU95" s="7">
        <f>(AU18)-(AU94)</f>
        <v>183.66999999999825</v>
      </c>
      <c r="AV95" s="7">
        <f t="shared" si="106"/>
        <v>-183.66999999999825</v>
      </c>
      <c r="AW95" s="8">
        <f t="shared" si="107"/>
        <v>0</v>
      </c>
      <c r="AX95" s="21">
        <f t="shared" si="108"/>
        <v>95989.66</v>
      </c>
      <c r="AY95" s="9">
        <f t="shared" si="109"/>
        <v>2207.9999999999854</v>
      </c>
      <c r="AZ95" s="9">
        <f t="shared" si="110"/>
        <v>93781.660000000018</v>
      </c>
      <c r="BA95" s="15">
        <f t="shared" si="111"/>
        <v>43.473577898551014</v>
      </c>
      <c r="BB95" s="24"/>
    </row>
    <row r="96" spans="1:54" ht="15.75" thickBot="1" x14ac:dyDescent="0.3">
      <c r="A96" s="3" t="s">
        <v>104</v>
      </c>
      <c r="B96" s="9">
        <f>(B95)+(0)</f>
        <v>45208.810000000019</v>
      </c>
      <c r="C96" s="9">
        <f>(C95)+(0)</f>
        <v>184.02999999999884</v>
      </c>
      <c r="D96" s="9">
        <f t="shared" si="84"/>
        <v>45024.780000000021</v>
      </c>
      <c r="E96" s="10">
        <f t="shared" si="85"/>
        <v>245.66000108678099</v>
      </c>
      <c r="F96" s="9">
        <f>(F95)+(0)</f>
        <v>23688.029999999992</v>
      </c>
      <c r="G96" s="9">
        <f>(G95)+(0)</f>
        <v>184.02999999999884</v>
      </c>
      <c r="H96" s="9">
        <f t="shared" si="86"/>
        <v>23503.999999999993</v>
      </c>
      <c r="I96" s="10">
        <f t="shared" si="87"/>
        <v>128.71830679780547</v>
      </c>
      <c r="J96" s="9">
        <f>(J95)+(0)</f>
        <v>24965.349999999991</v>
      </c>
      <c r="K96" s="9">
        <f>(K95)+(0)</f>
        <v>184.02999999999884</v>
      </c>
      <c r="L96" s="9">
        <f t="shared" si="88"/>
        <v>24781.319999999992</v>
      </c>
      <c r="M96" s="10">
        <f t="shared" si="89"/>
        <v>135.65913166331657</v>
      </c>
      <c r="N96" s="9">
        <f>(N95)+(0)</f>
        <v>-1618.4700000000012</v>
      </c>
      <c r="O96" s="9">
        <f>(O95)+(0)</f>
        <v>184.02999999999884</v>
      </c>
      <c r="P96" s="9">
        <f t="shared" si="90"/>
        <v>-1802.5</v>
      </c>
      <c r="Q96" s="10">
        <f t="shared" si="91"/>
        <v>-8.7945987067326605</v>
      </c>
      <c r="R96" s="9">
        <f>(R95)+(0)</f>
        <v>-1184.2699999999968</v>
      </c>
      <c r="S96" s="9">
        <f>(S95)+(0)</f>
        <v>184.02999999999884</v>
      </c>
      <c r="T96" s="9">
        <f t="shared" si="92"/>
        <v>-1368.2999999999956</v>
      </c>
      <c r="U96" s="10">
        <f t="shared" si="93"/>
        <v>-6.4352007824811404</v>
      </c>
      <c r="V96" s="9">
        <f>(V95)+(0)</f>
        <v>10501.219999999994</v>
      </c>
      <c r="W96" s="9">
        <f>(W95)+(0)</f>
        <v>184.02999999999884</v>
      </c>
      <c r="X96" s="9">
        <f t="shared" si="94"/>
        <v>10317.189999999995</v>
      </c>
      <c r="Y96" s="10">
        <f t="shared" si="95"/>
        <v>57.062544150410588</v>
      </c>
      <c r="Z96" s="9">
        <f>(Z95)+(0)</f>
        <v>6404.02</v>
      </c>
      <c r="AA96" s="9">
        <f>(AA95)+(0)</f>
        <v>184.02999999999884</v>
      </c>
      <c r="AB96" s="9">
        <f t="shared" si="96"/>
        <v>6219.9900000000016</v>
      </c>
      <c r="AC96" s="10">
        <f t="shared" si="97"/>
        <v>34.798782807151234</v>
      </c>
      <c r="AD96" s="9">
        <f>(AD95)+(0)</f>
        <v>-16807.049999999996</v>
      </c>
      <c r="AE96" s="9">
        <f>(AE95)+(0)</f>
        <v>184.02999999999884</v>
      </c>
      <c r="AF96" s="9">
        <f t="shared" si="98"/>
        <v>-16991.079999999994</v>
      </c>
      <c r="AG96" s="10">
        <f t="shared" si="99"/>
        <v>-91.327772645764838</v>
      </c>
      <c r="AH96" s="9">
        <f>(AH95)+(0)</f>
        <v>-7405.760000000002</v>
      </c>
      <c r="AI96" s="9">
        <f>(AI95)+(0)</f>
        <v>184.02999999999884</v>
      </c>
      <c r="AJ96" s="9">
        <f t="shared" si="100"/>
        <v>-7589.7900000000009</v>
      </c>
      <c r="AK96" s="10">
        <f t="shared" si="101"/>
        <v>-40.242134434603322</v>
      </c>
      <c r="AL96" s="9">
        <f>(AL95)+(0)</f>
        <v>12237.780000000002</v>
      </c>
      <c r="AM96" s="9">
        <f>(AM95)+(0)</f>
        <v>184.02999999999884</v>
      </c>
      <c r="AN96" s="9">
        <f t="shared" si="102"/>
        <v>12053.750000000004</v>
      </c>
      <c r="AO96" s="10">
        <f t="shared" si="103"/>
        <v>66.498831712221261</v>
      </c>
      <c r="AP96" s="9">
        <f>(AP95)+(0)</f>
        <v>0</v>
      </c>
      <c r="AQ96" s="9">
        <f>(AQ95)+(0)</f>
        <v>184.02999999999884</v>
      </c>
      <c r="AR96" s="9">
        <f t="shared" si="104"/>
        <v>-184.02999999999884</v>
      </c>
      <c r="AS96" s="10">
        <f t="shared" si="105"/>
        <v>0</v>
      </c>
      <c r="AT96" s="9">
        <f>(AT95)+(0)</f>
        <v>0</v>
      </c>
      <c r="AU96" s="9">
        <f>(AU95)+(0)</f>
        <v>183.66999999999825</v>
      </c>
      <c r="AV96" s="9">
        <f t="shared" si="106"/>
        <v>-183.66999999999825</v>
      </c>
      <c r="AW96" s="10">
        <f t="shared" si="107"/>
        <v>0</v>
      </c>
      <c r="AX96" s="22">
        <f t="shared" si="108"/>
        <v>95989.66</v>
      </c>
      <c r="AY96" s="16">
        <f t="shared" si="109"/>
        <v>2207.9999999999854</v>
      </c>
      <c r="AZ96" s="16">
        <f t="shared" si="110"/>
        <v>93781.660000000018</v>
      </c>
      <c r="BA96" s="17">
        <f t="shared" si="111"/>
        <v>43.473577898551014</v>
      </c>
    </row>
    <row r="97" spans="1:53" x14ac:dyDescent="0.25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100" spans="1:53" x14ac:dyDescent="0.25">
      <c r="A100" s="30" t="s">
        <v>105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</row>
  </sheetData>
  <mergeCells count="17">
    <mergeCell ref="R5:U5"/>
    <mergeCell ref="AP5:AS5"/>
    <mergeCell ref="AT5:AW5"/>
    <mergeCell ref="AX5:BA5"/>
    <mergeCell ref="A100:BA100"/>
    <mergeCell ref="A1:BA1"/>
    <mergeCell ref="A2:BA2"/>
    <mergeCell ref="A3:BA3"/>
    <mergeCell ref="V5:Y5"/>
    <mergeCell ref="Z5:AC5"/>
    <mergeCell ref="AD5:AG5"/>
    <mergeCell ref="AH5:AK5"/>
    <mergeCell ref="AL5:AO5"/>
    <mergeCell ref="B5:E5"/>
    <mergeCell ref="F5:I5"/>
    <mergeCell ref="J5:M5"/>
    <mergeCell ref="N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Emily</cp:lastModifiedBy>
  <dcterms:created xsi:type="dcterms:W3CDTF">2024-05-12T21:11:56Z</dcterms:created>
  <dcterms:modified xsi:type="dcterms:W3CDTF">2024-05-13T01:25:48Z</dcterms:modified>
</cp:coreProperties>
</file>